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4120" windowHeight="12840" tabRatio="375" activeTab="0"/>
  </bookViews>
  <sheets>
    <sheet name="Full analysis" sheetId="1" r:id="rId1"/>
  </sheets>
  <definedNames/>
  <calcPr fullCalcOnLoad="1"/>
</workbook>
</file>

<file path=xl/comments1.xml><?xml version="1.0" encoding="utf-8"?>
<comments xmlns="http://schemas.openxmlformats.org/spreadsheetml/2006/main">
  <authors>
    <author>smithn</author>
  </authors>
  <commentList>
    <comment ref="AL17" authorId="0">
      <text>
        <r>
          <rPr>
            <b/>
            <sz val="8"/>
            <rFont val="Tahoma"/>
            <family val="0"/>
          </rPr>
          <t>smithn:</t>
        </r>
        <r>
          <rPr>
            <sz val="8"/>
            <rFont val="Tahoma"/>
            <family val="0"/>
          </rPr>
          <t xml:space="preserve">
Preseme that receive full £250 a year increase, not £250 on a pro-rata basis. </t>
        </r>
      </text>
    </comment>
    <comment ref="AL9" authorId="0">
      <text>
        <r>
          <rPr>
            <b/>
            <sz val="8"/>
            <rFont val="Tahoma"/>
            <family val="0"/>
          </rPr>
          <t>smithn:</t>
        </r>
        <r>
          <rPr>
            <sz val="8"/>
            <rFont val="Tahoma"/>
            <family val="0"/>
          </rPr>
          <t xml:space="preserve">
Includes £500 pay rise from £250 annual pay increases
</t>
        </r>
      </text>
    </comment>
    <comment ref="A11" authorId="0">
      <text>
        <r>
          <rPr>
            <b/>
            <sz val="8"/>
            <rFont val="Tahoma"/>
            <family val="0"/>
          </rPr>
          <t>smithn:</t>
        </r>
        <r>
          <rPr>
            <sz val="8"/>
            <rFont val="Tahoma"/>
            <family val="0"/>
          </rPr>
          <t xml:space="preserve">
The analysis assumes these workers pay the contribution rate for a full-time salary as full-time equivalent posts are all paid at over £18k a year.</t>
        </r>
      </text>
    </comment>
  </commentList>
</comments>
</file>

<file path=xl/sharedStrings.xml><?xml version="1.0" encoding="utf-8"?>
<sst xmlns="http://schemas.openxmlformats.org/spreadsheetml/2006/main" count="157" uniqueCount="86">
  <si>
    <r>
      <t>of jobs</t>
    </r>
    <r>
      <rPr>
        <b/>
        <vertAlign val="superscript"/>
        <sz val="10"/>
        <rFont val="Arial"/>
        <family val="2"/>
      </rPr>
      <t>b</t>
    </r>
  </si>
  <si>
    <t>percentage</t>
  </si>
  <si>
    <t>Percentiles</t>
  </si>
  <si>
    <t>Description</t>
  </si>
  <si>
    <t>Code</t>
  </si>
  <si>
    <t>(thousand)</t>
  </si>
  <si>
    <t>Median</t>
  </si>
  <si>
    <t>change</t>
  </si>
  <si>
    <t>Mean</t>
  </si>
  <si>
    <t xml:space="preserve">      Nurses</t>
  </si>
  <si>
    <t>3211</t>
  </si>
  <si>
    <t xml:space="preserve">      Fire service officers (leading fire officer and below)</t>
  </si>
  <si>
    <t>3313</t>
  </si>
  <si>
    <t>x</t>
  </si>
  <si>
    <t xml:space="preserve">      Social workers</t>
  </si>
  <si>
    <t>2442</t>
  </si>
  <si>
    <t xml:space="preserve">      Secondary education teaching professionals</t>
  </si>
  <si>
    <t>2314</t>
  </si>
  <si>
    <t xml:space="preserve">      Civil Service executive officers</t>
  </si>
  <si>
    <t>4111</t>
  </si>
  <si>
    <t>Older scheme contribution rate</t>
  </si>
  <si>
    <t>FULL TIME</t>
  </si>
  <si>
    <t xml:space="preserve">      Nursing auxiliaries and assistants</t>
  </si>
  <si>
    <t>6111</t>
  </si>
  <si>
    <t>Weekly value of current contribution</t>
  </si>
  <si>
    <t>Weekly change</t>
  </si>
  <si>
    <t>Weekly value of current contribution (older scheme)</t>
  </si>
  <si>
    <t>Future annual value of current contribution (older scheme)</t>
  </si>
  <si>
    <t>Future weekly value of current contribution (older scheme)</t>
  </si>
  <si>
    <t>Annual change (older scheme)</t>
  </si>
  <si>
    <t>Weekly change (older scheme)</t>
  </si>
  <si>
    <t>RPI</t>
  </si>
  <si>
    <t>Inflation forecats (OBR March 2011)</t>
  </si>
  <si>
    <t>2011/12 pay rise if RPI uprated</t>
  </si>
  <si>
    <t>2011/12 salary following RPI uprating</t>
  </si>
  <si>
    <t>2012/13 pay if RPI uprated</t>
  </si>
  <si>
    <t>Tax changes</t>
  </si>
  <si>
    <t>April 2011: personal allowance rises by £1000 to £7,475</t>
  </si>
  <si>
    <t>-</t>
  </si>
  <si>
    <t>Net pay 2012/13 (after contributions increase and after freeze)</t>
  </si>
  <si>
    <t>Income tax and NI tax  (after increase with freeze) 2011/12</t>
  </si>
  <si>
    <t>Percentage change in salary (RPI)</t>
  </si>
  <si>
    <t>Loss per week (RPI)</t>
  </si>
  <si>
    <t>Net change in pay (RPI)</t>
  </si>
  <si>
    <t>Net pay 2012/13 (after contributions increase and after freeze) (older schemes)</t>
  </si>
  <si>
    <t>Net change in pay (RPI) (older schemes)</t>
  </si>
  <si>
    <t>Percentage change in salary (RPI) (older schemes)</t>
  </si>
  <si>
    <t>Loss per week (RPI) (older schemes)</t>
  </si>
  <si>
    <t>Combined annual cost of pension increase and pay freeze (RPI) by 2012/13 (older schemes)</t>
  </si>
  <si>
    <t>Note: workers earning below £21k FTE are exempt from the pay freeze receiving a flat rate increase of £250 in each of 2011/12 and 2012/13. But workers on part-time salaries below £21k whose full-time equivalent earns above this level are included in the freeze and are not eligible for the flat-rate payments</t>
  </si>
  <si>
    <t>Note: Tax deductions for 2012/13 are based on current information regarding income tax thresholds and increases in the personal allowance</t>
  </si>
  <si>
    <t>Income tax and NI year 2012/13 (after contributions increase with freeze). Older schemes</t>
  </si>
  <si>
    <t xml:space="preserve">Note: This analysis has assumed that part-time workers who would earn less than £21k at FTE receive the entire annual £250 increase, but it may be that many only receive this on a pro-rata basis. If this is the case their position will be even worse than this analysis suggests. </t>
  </si>
  <si>
    <t>Future weekly value of current contribution (with freeze)</t>
  </si>
  <si>
    <t>Calculated from http://www.uktaxcalculators.co.uk/</t>
  </si>
  <si>
    <t xml:space="preserve">April 2012: personal allowance rises to £8,105 </t>
  </si>
  <si>
    <t xml:space="preserve">2010 (calender year average annual change) </t>
  </si>
  <si>
    <t>New scheme contribution rate (%)</t>
  </si>
  <si>
    <t>Annual value of current contribution (under ASHE 2010 median pay)</t>
  </si>
  <si>
    <t>Annual value of current contribution (under ASHE 2010 median pay) (older scheme)</t>
  </si>
  <si>
    <t>2012/13 salary following RPI uprating in 2010/11 and 2011/12</t>
  </si>
  <si>
    <t>Contribution levels in 2012/13 based on current contribution rates and RPI uprated salary</t>
  </si>
  <si>
    <t>Contribution levels in 2012/13 based on current contribution rates and RPI uprated salary (older schemes)</t>
  </si>
  <si>
    <t>Taxable salary 2012/13  (RPI  uprated current contribution rates)</t>
  </si>
  <si>
    <t xml:space="preserve">Income tax and NI year 2012/13 RPI (current contribution rates). </t>
  </si>
  <si>
    <t>Taxable salary 2012/13  (RPI  uprated current contribution rates) (older schemes)</t>
  </si>
  <si>
    <t>Income tax and NI year 2012/13 RPI (current contribution rates) (older schemes)</t>
  </si>
  <si>
    <t xml:space="preserve">Note: RPI is the inflation measure most com for wage-setting and has been used as a means to demonstrate the difference between actual and real wages for public sector workers. We have used actual RPI figures for 2010 and OBR forecasts for 2011. </t>
  </si>
  <si>
    <t>Note: In the mid-2000s, the main public service pension schemes underwent significant reform following negotiations between the Government and unions. Reforms included changing contribution rates and increasing Normal Pension Ages in a number of the schemes, and moving to a ‘career average’ scheme in the Civil Service. In the Teachers, NHS, Fire and Civil Service Pension Schemes, these changes generally only applied to new entrants to the schemes, with people who were already members at the time of the changes staying in the old schemes. In the Local Government Scheme the changes applied to current members as well as new entrants. Where the post-2005 changes only applied to new entrants, we have modelled the impact of contribution rates on members paying into the reformed post-2005 schemes and the older schemes.</t>
  </si>
  <si>
    <t xml:space="preserve">PART TIME </t>
  </si>
  <si>
    <t>Taxable salary 2012/13 (after contributions increases and with pay freeze, inc. £500 for low-paid)</t>
  </si>
  <si>
    <t>Taxable salary 2012/13 (after contributions increases and with pay freeze, inc. £500 for low-paid) (older schemes)</t>
  </si>
  <si>
    <t>Income tax and NI year 2012/13 after contributions increase with pay freeze</t>
  </si>
  <si>
    <t xml:space="preserve">Net pay 2012/13 without freeze or contributions increase </t>
  </si>
  <si>
    <t>Net pay 2012/13 without freeze or contributions increase (older schemes)</t>
  </si>
  <si>
    <t xml:space="preserve">Note: This analysis does not take account of changes to tax credits and other in-work benefits which will further reduce the incomes of many households. </t>
  </si>
  <si>
    <t>Note: Jobs data are from Table 14.7a   Annual pay - Gross (£) - For all employee jobs: United Kingdom, 2010 ASHE</t>
  </si>
  <si>
    <t>Impacts of contribution increases and pay freeze on living standards of public sector workers</t>
  </si>
  <si>
    <t>Contribution rate after 1.26% increase</t>
  </si>
  <si>
    <t>Older scheme contribution rate after 1.26% increase</t>
  </si>
  <si>
    <t>Impact of freeze by 2012/13 (including £250 extra per year for low paid FTE)</t>
  </si>
  <si>
    <t>Note: The Government has set out that approximately 40% of its savings will be realised in the first year of the proposed increase, increasing to 80% in the second year and 100% in the third year. So, for 2012/13 SR 2010 set out that 42 per cent of savings realised from the Government's proposed contributions increases (including those that would have arisen under cap and share arrangements) would be realised. Assuming that across the schemes contribution levels of 3 per cent are likely, this would imply that in 2012/13 the increase would be approximately 1.26 percentage points (42 per cent of 3 percentage points).</t>
  </si>
  <si>
    <t>Future annual value of current contribution (with freeze, including £250 annual increase for low-paid)</t>
  </si>
  <si>
    <t>Loss per month (RPI)</t>
  </si>
  <si>
    <t>Loss per month (RPI) (older schemes)</t>
  </si>
  <si>
    <t xml:space="preserve">Note: National Insurance is payable on pension contributions but has not been included in this analysis. The impact of this is to very slightly understate the impact of increased contributions on take home pay.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</si>
</sst>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49">
    <font>
      <sz val="10"/>
      <name val="Arial"/>
      <family val="0"/>
    </font>
    <font>
      <b/>
      <sz val="12"/>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sz val="8"/>
      <name val="Arial"/>
      <family val="0"/>
    </font>
    <font>
      <sz val="10"/>
      <color indexed="10"/>
      <name val="Arial"/>
      <family val="0"/>
    </font>
    <font>
      <b/>
      <sz val="10"/>
      <color indexed="10"/>
      <name val="Arial"/>
      <family val="0"/>
    </font>
    <font>
      <sz val="10"/>
      <color indexed="8"/>
      <name val="Arial"/>
      <family val="0"/>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lightGray">
        <fgColor indexed="9"/>
        <bgColor indexed="15"/>
      </patternFill>
    </fill>
    <fill>
      <patternFill patternType="solid">
        <fgColor indexed="49"/>
        <bgColor indexed="64"/>
      </patternFill>
    </fill>
    <fill>
      <patternFill patternType="solid">
        <fgColor indexed="48"/>
        <bgColor indexed="64"/>
      </patternFill>
    </fill>
    <fill>
      <patternFill patternType="solid">
        <fgColor indexed="5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0">
    <xf numFmtId="0" fontId="0" fillId="0" borderId="0" xfId="0" applyAlignment="1">
      <alignment/>
    </xf>
    <xf numFmtId="0" fontId="2" fillId="33" borderId="0" xfId="0" applyFont="1" applyFill="1" applyBorder="1" applyAlignment="1">
      <alignment/>
    </xf>
    <xf numFmtId="0" fontId="2" fillId="33" borderId="10" xfId="0" applyFont="1" applyFill="1" applyBorder="1" applyAlignment="1">
      <alignment horizontal="right"/>
    </xf>
    <xf numFmtId="0" fontId="2" fillId="33" borderId="11" xfId="0" applyFont="1" applyFill="1" applyBorder="1" applyAlignment="1">
      <alignment horizontal="right"/>
    </xf>
    <xf numFmtId="0" fontId="2" fillId="33" borderId="12" xfId="0" applyFont="1" applyFill="1" applyBorder="1" applyAlignment="1">
      <alignment/>
    </xf>
    <xf numFmtId="0" fontId="2" fillId="33" borderId="13" xfId="0" applyFont="1" applyFill="1" applyBorder="1" applyAlignment="1">
      <alignment horizontal="right"/>
    </xf>
    <xf numFmtId="0" fontId="2" fillId="33" borderId="14" xfId="0" applyFont="1" applyFill="1" applyBorder="1" applyAlignment="1">
      <alignment horizontal="right"/>
    </xf>
    <xf numFmtId="3" fontId="0" fillId="0" borderId="10" xfId="0" applyNumberFormat="1" applyBorder="1" applyAlignment="1">
      <alignment horizontal="right"/>
    </xf>
    <xf numFmtId="164" fontId="0" fillId="34" borderId="11" xfId="0" applyNumberFormat="1" applyFill="1" applyBorder="1" applyAlignment="1">
      <alignment horizontal="right"/>
    </xf>
    <xf numFmtId="3" fontId="0" fillId="0" borderId="0" xfId="0" applyNumberFormat="1" applyBorder="1" applyAlignment="1">
      <alignment horizontal="right"/>
    </xf>
    <xf numFmtId="3" fontId="0" fillId="35" borderId="10" xfId="0" applyNumberFormat="1" applyFill="1" applyBorder="1" applyAlignment="1">
      <alignment horizontal="right"/>
    </xf>
    <xf numFmtId="3" fontId="0" fillId="36" borderId="0" xfId="0" applyNumberFormat="1" applyFill="1" applyBorder="1" applyAlignment="1">
      <alignment horizontal="right"/>
    </xf>
    <xf numFmtId="3" fontId="0" fillId="35" borderId="0" xfId="0" applyNumberFormat="1" applyFill="1" applyBorder="1" applyAlignment="1">
      <alignment horizontal="right"/>
    </xf>
    <xf numFmtId="3" fontId="0" fillId="36" borderId="10" xfId="0" applyNumberFormat="1" applyFill="1" applyBorder="1" applyAlignment="1">
      <alignment horizontal="right"/>
    </xf>
    <xf numFmtId="0" fontId="2" fillId="33" borderId="0" xfId="0" applyFont="1" applyFill="1" applyBorder="1" applyAlignment="1">
      <alignment horizontal="center"/>
    </xf>
    <xf numFmtId="0" fontId="2" fillId="33" borderId="12" xfId="0" applyFont="1" applyFill="1" applyBorder="1" applyAlignment="1">
      <alignment horizontal="center"/>
    </xf>
    <xf numFmtId="3" fontId="0" fillId="0" borderId="15" xfId="0" applyNumberFormat="1" applyBorder="1" applyAlignment="1">
      <alignment horizontal="center"/>
    </xf>
    <xf numFmtId="0" fontId="0" fillId="0" borderId="0" xfId="0" applyAlignment="1">
      <alignment horizontal="center"/>
    </xf>
    <xf numFmtId="0" fontId="2" fillId="33" borderId="10" xfId="0" applyFont="1" applyFill="1" applyBorder="1" applyAlignment="1">
      <alignment horizontal="center"/>
    </xf>
    <xf numFmtId="0" fontId="2" fillId="33" borderId="13" xfId="0" applyFont="1" applyFill="1" applyBorder="1" applyAlignment="1">
      <alignment horizontal="center"/>
    </xf>
    <xf numFmtId="3" fontId="0" fillId="0" borderId="10" xfId="0" applyNumberFormat="1" applyBorder="1" applyAlignment="1">
      <alignment horizontal="center"/>
    </xf>
    <xf numFmtId="0" fontId="2" fillId="33" borderId="12" xfId="0" applyFont="1" applyFill="1" applyBorder="1" applyAlignment="1">
      <alignment horizontal="left"/>
    </xf>
    <xf numFmtId="164" fontId="0" fillId="34" borderId="11" xfId="0" applyNumberFormat="1" applyFill="1" applyBorder="1" applyAlignment="1">
      <alignment horizontal="center"/>
    </xf>
    <xf numFmtId="3" fontId="0" fillId="0" borderId="0" xfId="0" applyNumberFormat="1" applyBorder="1" applyAlignment="1">
      <alignment horizontal="center"/>
    </xf>
    <xf numFmtId="3" fontId="0" fillId="0" borderId="15" xfId="0" applyNumberFormat="1" applyBorder="1" applyAlignment="1">
      <alignment/>
    </xf>
    <xf numFmtId="3" fontId="0" fillId="35" borderId="15" xfId="0" applyNumberFormat="1" applyFill="1" applyBorder="1" applyAlignment="1">
      <alignment horizontal="center"/>
    </xf>
    <xf numFmtId="3" fontId="0" fillId="36" borderId="0" xfId="0" applyNumberFormat="1" applyFill="1" applyBorder="1" applyAlignment="1">
      <alignment horizontal="center"/>
    </xf>
    <xf numFmtId="3" fontId="2" fillId="0" borderId="15" xfId="0" applyNumberFormat="1" applyFont="1" applyBorder="1" applyAlignment="1">
      <alignment/>
    </xf>
    <xf numFmtId="0" fontId="2" fillId="33" borderId="15" xfId="0" applyFont="1" applyFill="1" applyBorder="1" applyAlignment="1">
      <alignment horizontal="center"/>
    </xf>
    <xf numFmtId="0" fontId="2" fillId="33" borderId="16" xfId="0" applyFont="1" applyFill="1" applyBorder="1" applyAlignment="1">
      <alignment horizontal="center"/>
    </xf>
    <xf numFmtId="3" fontId="0" fillId="36" borderId="15" xfId="0" applyNumberFormat="1" applyFill="1" applyBorder="1" applyAlignment="1">
      <alignment horizontal="center"/>
    </xf>
    <xf numFmtId="2" fontId="0" fillId="0" borderId="0" xfId="0" applyNumberFormat="1" applyAlignment="1">
      <alignment horizontal="center"/>
    </xf>
    <xf numFmtId="0" fontId="2" fillId="33" borderId="10" xfId="0" applyFont="1" applyFill="1" applyBorder="1" applyAlignment="1">
      <alignment horizontal="center" wrapText="1"/>
    </xf>
    <xf numFmtId="165" fontId="0" fillId="0" borderId="0" xfId="0" applyNumberFormat="1" applyAlignment="1">
      <alignment horizontal="center"/>
    </xf>
    <xf numFmtId="3" fontId="0" fillId="37" borderId="15" xfId="0" applyNumberFormat="1" applyFill="1" applyBorder="1" applyAlignment="1">
      <alignment/>
    </xf>
    <xf numFmtId="3" fontId="0" fillId="37" borderId="15" xfId="0" applyNumberFormat="1" applyFill="1" applyBorder="1" applyAlignment="1">
      <alignment horizontal="center"/>
    </xf>
    <xf numFmtId="0" fontId="0" fillId="37" borderId="0" xfId="0" applyFill="1" applyAlignment="1">
      <alignment horizontal="center"/>
    </xf>
    <xf numFmtId="0" fontId="0" fillId="37" borderId="0" xfId="0" applyFill="1" applyAlignment="1">
      <alignment/>
    </xf>
    <xf numFmtId="2" fontId="0" fillId="37" borderId="0" xfId="0" applyNumberFormat="1" applyFill="1" applyAlignment="1">
      <alignment horizontal="center"/>
    </xf>
    <xf numFmtId="165" fontId="0" fillId="37" borderId="0" xfId="0" applyNumberFormat="1" applyFill="1" applyAlignment="1">
      <alignment horizontal="center"/>
    </xf>
    <xf numFmtId="0" fontId="0" fillId="38" borderId="0" xfId="0" applyFill="1" applyAlignment="1">
      <alignment/>
    </xf>
    <xf numFmtId="0" fontId="0" fillId="38" borderId="0" xfId="0" applyFill="1" applyAlignment="1">
      <alignment horizontal="center"/>
    </xf>
    <xf numFmtId="0" fontId="2" fillId="33" borderId="0" xfId="0" applyFont="1" applyFill="1" applyBorder="1" applyAlignment="1">
      <alignment horizontal="center" wrapText="1"/>
    </xf>
    <xf numFmtId="0" fontId="2" fillId="0" borderId="0" xfId="0" applyFont="1" applyAlignment="1">
      <alignment horizontal="center"/>
    </xf>
    <xf numFmtId="0" fontId="2" fillId="0" borderId="0" xfId="0" applyFont="1" applyAlignment="1">
      <alignment/>
    </xf>
    <xf numFmtId="0" fontId="0" fillId="0" borderId="0" xfId="0" applyAlignment="1">
      <alignment horizontal="left"/>
    </xf>
    <xf numFmtId="9" fontId="0" fillId="0" borderId="0" xfId="59" applyFont="1" applyAlignment="1">
      <alignment horizontal="center"/>
    </xf>
    <xf numFmtId="9" fontId="0" fillId="37" borderId="0" xfId="59" applyFont="1" applyFill="1" applyAlignment="1">
      <alignment/>
    </xf>
    <xf numFmtId="0" fontId="2" fillId="38" borderId="0" xfId="0" applyFont="1" applyFill="1" applyBorder="1" applyAlignment="1">
      <alignment horizontal="center" wrapText="1"/>
    </xf>
    <xf numFmtId="9" fontId="0" fillId="38" borderId="0" xfId="59" applyFont="1" applyFill="1" applyAlignment="1">
      <alignment horizontal="center"/>
    </xf>
    <xf numFmtId="9" fontId="0" fillId="38" borderId="0" xfId="59" applyFont="1" applyFill="1" applyAlignment="1">
      <alignment/>
    </xf>
    <xf numFmtId="165" fontId="0" fillId="0" borderId="0" xfId="0" applyNumberFormat="1" applyFill="1" applyAlignment="1">
      <alignment horizontal="center"/>
    </xf>
    <xf numFmtId="8" fontId="0" fillId="0" borderId="0" xfId="0" applyNumberFormat="1" applyAlignment="1">
      <alignment/>
    </xf>
    <xf numFmtId="0" fontId="7" fillId="0" borderId="0" xfId="0" applyFont="1" applyAlignment="1">
      <alignment horizontal="center"/>
    </xf>
    <xf numFmtId="0" fontId="8" fillId="33" borderId="10" xfId="0" applyFont="1" applyFill="1" applyBorder="1" applyAlignment="1">
      <alignment horizontal="center" wrapText="1"/>
    </xf>
    <xf numFmtId="165" fontId="7" fillId="0" borderId="0" xfId="0" applyNumberFormat="1" applyFont="1" applyAlignment="1">
      <alignment horizontal="center"/>
    </xf>
    <xf numFmtId="165" fontId="7" fillId="37" borderId="0" xfId="0" applyNumberFormat="1" applyFont="1" applyFill="1" applyAlignment="1">
      <alignment horizontal="center"/>
    </xf>
    <xf numFmtId="2" fontId="7" fillId="0" borderId="0" xfId="0" applyNumberFormat="1" applyFont="1" applyAlignment="1">
      <alignment horizontal="center"/>
    </xf>
    <xf numFmtId="0" fontId="9" fillId="0" borderId="0" xfId="0" applyFont="1" applyAlignment="1">
      <alignment horizontal="center"/>
    </xf>
    <xf numFmtId="2" fontId="9" fillId="0" borderId="0" xfId="0" applyNumberFormat="1" applyFont="1" applyAlignment="1">
      <alignment horizontal="center"/>
    </xf>
    <xf numFmtId="0" fontId="7" fillId="0" borderId="0" xfId="0" applyFont="1" applyAlignment="1">
      <alignment/>
    </xf>
    <xf numFmtId="0" fontId="7" fillId="37" borderId="0" xfId="0" applyFont="1" applyFill="1" applyAlignment="1">
      <alignment/>
    </xf>
    <xf numFmtId="0" fontId="8" fillId="33" borderId="10" xfId="0" applyFont="1" applyFill="1" applyBorder="1" applyAlignment="1">
      <alignment horizontal="center" wrapText="1"/>
    </xf>
    <xf numFmtId="0" fontId="7" fillId="0" borderId="0" xfId="0" applyFont="1" applyAlignment="1">
      <alignment/>
    </xf>
    <xf numFmtId="165" fontId="7" fillId="0" borderId="0" xfId="0" applyNumberFormat="1" applyFont="1" applyAlignment="1">
      <alignment horizontal="center"/>
    </xf>
    <xf numFmtId="0" fontId="7" fillId="37" borderId="0" xfId="0" applyFont="1" applyFill="1" applyAlignment="1">
      <alignment/>
    </xf>
    <xf numFmtId="0" fontId="8" fillId="33" borderId="0" xfId="0" applyFont="1" applyFill="1" applyBorder="1" applyAlignment="1">
      <alignment horizontal="center" wrapText="1"/>
    </xf>
    <xf numFmtId="8" fontId="0" fillId="0" borderId="0" xfId="0" applyNumberFormat="1" applyFill="1" applyAlignment="1">
      <alignment horizontal="center"/>
    </xf>
    <xf numFmtId="0" fontId="0" fillId="0" borderId="0" xfId="0" applyFill="1" applyAlignment="1">
      <alignment/>
    </xf>
    <xf numFmtId="3" fontId="2" fillId="0" borderId="15" xfId="0" applyNumberFormat="1" applyFont="1" applyFill="1" applyBorder="1" applyAlignment="1">
      <alignment/>
    </xf>
    <xf numFmtId="3" fontId="0" fillId="0" borderId="15" xfId="0" applyNumberFormat="1" applyFill="1" applyBorder="1" applyAlignment="1">
      <alignment/>
    </xf>
    <xf numFmtId="3" fontId="0" fillId="0" borderId="0" xfId="0" applyNumberFormat="1" applyFill="1" applyBorder="1" applyAlignment="1">
      <alignment/>
    </xf>
    <xf numFmtId="0" fontId="7" fillId="0" borderId="0" xfId="0" applyFont="1" applyFill="1" applyAlignment="1">
      <alignment/>
    </xf>
    <xf numFmtId="0" fontId="7" fillId="0" borderId="0" xfId="0" applyFont="1" applyFill="1" applyAlignment="1">
      <alignment/>
    </xf>
    <xf numFmtId="0" fontId="0" fillId="0" borderId="0" xfId="0" applyFill="1" applyAlignment="1">
      <alignment horizontal="center"/>
    </xf>
    <xf numFmtId="9" fontId="0" fillId="0" borderId="0" xfId="59" applyFont="1" applyFill="1" applyAlignment="1">
      <alignment horizontal="center"/>
    </xf>
    <xf numFmtId="8" fontId="0" fillId="38" borderId="0" xfId="0" applyNumberFormat="1" applyFill="1" applyAlignment="1">
      <alignment horizontal="center"/>
    </xf>
    <xf numFmtId="0" fontId="0" fillId="0" borderId="0" xfId="0" applyFont="1" applyAlignment="1">
      <alignment/>
    </xf>
    <xf numFmtId="0" fontId="2" fillId="33" borderId="0" xfId="0" applyFont="1" applyFill="1" applyBorder="1" applyAlignment="1">
      <alignment horizontal="center" wrapText="1"/>
    </xf>
    <xf numFmtId="0" fontId="0" fillId="0" borderId="0" xfId="0" applyFont="1" applyFill="1" applyAlignment="1">
      <alignment/>
    </xf>
    <xf numFmtId="0" fontId="0" fillId="0" borderId="0" xfId="0" applyFont="1" applyAlignment="1">
      <alignment/>
    </xf>
    <xf numFmtId="0" fontId="8" fillId="0" borderId="0" xfId="0" applyFont="1" applyFill="1" applyBorder="1" applyAlignment="1">
      <alignment horizontal="center" wrapText="1"/>
    </xf>
    <xf numFmtId="0" fontId="8" fillId="33" borderId="0" xfId="0" applyFont="1" applyFill="1" applyBorder="1" applyAlignment="1">
      <alignment horizontal="center" wrapText="1"/>
    </xf>
    <xf numFmtId="165" fontId="7" fillId="0" borderId="0" xfId="0" applyNumberFormat="1" applyFont="1" applyFill="1" applyAlignment="1">
      <alignment horizontal="center"/>
    </xf>
    <xf numFmtId="9" fontId="7" fillId="37" borderId="0" xfId="59" applyFont="1" applyFill="1" applyAlignment="1">
      <alignment/>
    </xf>
    <xf numFmtId="165" fontId="7" fillId="0" borderId="0" xfId="59" applyNumberFormat="1" applyFont="1" applyFill="1" applyAlignment="1">
      <alignment horizontal="center"/>
    </xf>
    <xf numFmtId="9" fontId="7" fillId="0" borderId="0" xfId="59" applyFont="1" applyFill="1" applyAlignment="1">
      <alignment/>
    </xf>
    <xf numFmtId="8" fontId="7" fillId="0" borderId="0" xfId="0" applyNumberFormat="1" applyFont="1" applyAlignment="1">
      <alignment horizontal="center"/>
    </xf>
    <xf numFmtId="9" fontId="7" fillId="0" borderId="0" xfId="59" applyFont="1" applyFill="1" applyAlignment="1">
      <alignment horizontal="center"/>
    </xf>
    <xf numFmtId="3" fontId="7" fillId="0" borderId="0" xfId="0" applyNumberFormat="1" applyFont="1" applyFill="1" applyBorder="1" applyAlignment="1">
      <alignment/>
    </xf>
    <xf numFmtId="0" fontId="46" fillId="33" borderId="10" xfId="0" applyFont="1" applyFill="1" applyBorder="1" applyAlignment="1">
      <alignment horizontal="center" wrapText="1"/>
    </xf>
    <xf numFmtId="3" fontId="47" fillId="0" borderId="0" xfId="0" applyNumberFormat="1" applyFont="1" applyFill="1" applyBorder="1" applyAlignment="1">
      <alignment/>
    </xf>
    <xf numFmtId="165" fontId="47" fillId="0" borderId="0" xfId="0" applyNumberFormat="1" applyFont="1" applyAlignment="1">
      <alignment horizontal="center"/>
    </xf>
    <xf numFmtId="165" fontId="47" fillId="37" borderId="0" xfId="0" applyNumberFormat="1" applyFont="1" applyFill="1" applyAlignment="1">
      <alignment horizontal="center"/>
    </xf>
    <xf numFmtId="0" fontId="0" fillId="0" borderId="0" xfId="0" applyFont="1" applyAlignment="1">
      <alignment/>
    </xf>
    <xf numFmtId="3" fontId="0" fillId="0" borderId="10" xfId="0" applyNumberFormat="1" applyFill="1" applyBorder="1" applyAlignment="1">
      <alignment horizontal="center"/>
    </xf>
    <xf numFmtId="0" fontId="0" fillId="0" borderId="0" xfId="0" applyFont="1" applyAlignment="1">
      <alignment horizontal="left"/>
    </xf>
    <xf numFmtId="165" fontId="47" fillId="0" borderId="0" xfId="0" applyNumberFormat="1" applyFont="1" applyFill="1" applyAlignment="1">
      <alignment horizontal="center"/>
    </xf>
    <xf numFmtId="0" fontId="0" fillId="39" borderId="0" xfId="0" applyFill="1" applyAlignment="1">
      <alignment/>
    </xf>
    <xf numFmtId="2" fontId="0" fillId="0" borderId="0" xfId="0" applyNumberFormat="1" applyFill="1" applyAlignment="1">
      <alignment horizontal="center"/>
    </xf>
    <xf numFmtId="3" fontId="0" fillId="0" borderId="15" xfId="0" applyNumberFormat="1" applyFill="1" applyBorder="1" applyAlignment="1">
      <alignment horizontal="center"/>
    </xf>
    <xf numFmtId="164" fontId="0" fillId="0" borderId="11" xfId="0" applyNumberFormat="1" applyFill="1" applyBorder="1" applyAlignment="1">
      <alignment horizontal="right"/>
    </xf>
    <xf numFmtId="3" fontId="0" fillId="0" borderId="10" xfId="0" applyNumberFormat="1" applyFill="1" applyBorder="1" applyAlignment="1">
      <alignment horizontal="right"/>
    </xf>
    <xf numFmtId="3" fontId="0" fillId="0" borderId="0" xfId="0" applyNumberFormat="1" applyFill="1" applyBorder="1" applyAlignment="1">
      <alignment horizontal="right"/>
    </xf>
    <xf numFmtId="165" fontId="7" fillId="0" borderId="0" xfId="0" applyNumberFormat="1" applyFont="1" applyFill="1" applyAlignment="1">
      <alignment horizontal="center"/>
    </xf>
    <xf numFmtId="8" fontId="7" fillId="0" borderId="0" xfId="0" applyNumberFormat="1" applyFont="1" applyFill="1" applyAlignment="1">
      <alignment horizontal="center"/>
    </xf>
    <xf numFmtId="170" fontId="7" fillId="0" borderId="0" xfId="59" applyNumberFormat="1" applyFont="1" applyAlignment="1">
      <alignment horizontal="center"/>
    </xf>
    <xf numFmtId="170" fontId="7" fillId="0" borderId="0" xfId="0" applyNumberFormat="1" applyFont="1" applyAlignment="1">
      <alignment/>
    </xf>
    <xf numFmtId="170" fontId="7" fillId="37" borderId="0" xfId="0" applyNumberFormat="1" applyFont="1" applyFill="1" applyAlignment="1">
      <alignment/>
    </xf>
    <xf numFmtId="170" fontId="7" fillId="0" borderId="0" xfId="59" applyNumberFormat="1" applyFont="1" applyFill="1" applyAlignment="1">
      <alignment horizontal="center"/>
    </xf>
    <xf numFmtId="3" fontId="0" fillId="0" borderId="0" xfId="0" applyNumberFormat="1" applyFont="1" applyFill="1" applyBorder="1" applyAlignment="1">
      <alignment wrapText="1"/>
    </xf>
    <xf numFmtId="8" fontId="0" fillId="0" borderId="0" xfId="0" applyNumberFormat="1" applyFont="1" applyFill="1" applyAlignment="1">
      <alignment horizontal="center"/>
    </xf>
    <xf numFmtId="0" fontId="1" fillId="33" borderId="0" xfId="0" applyFont="1" applyFill="1" applyBorder="1" applyAlignment="1">
      <alignment wrapText="1"/>
    </xf>
    <xf numFmtId="3" fontId="0" fillId="0" borderId="0" xfId="0" applyNumberFormat="1" applyFill="1" applyBorder="1" applyAlignment="1">
      <alignment wrapText="1"/>
    </xf>
    <xf numFmtId="8" fontId="0" fillId="0" borderId="0" xfId="0" applyNumberFormat="1" applyFont="1" applyAlignment="1">
      <alignment horizontal="center"/>
    </xf>
    <xf numFmtId="8" fontId="0" fillId="0" borderId="0" xfId="0" applyNumberFormat="1" applyAlignment="1">
      <alignment horizontal="center"/>
    </xf>
    <xf numFmtId="8" fontId="0" fillId="0" borderId="0" xfId="0" applyNumberFormat="1" applyFont="1" applyFill="1" applyAlignment="1">
      <alignment horizontal="center"/>
    </xf>
    <xf numFmtId="9" fontId="7" fillId="37" borderId="0" xfId="59" applyFont="1" applyFill="1" applyAlignment="1">
      <alignment horizontal="center"/>
    </xf>
    <xf numFmtId="0" fontId="0" fillId="0" borderId="0" xfId="0" applyFont="1" applyAlignment="1">
      <alignment horizontal="center"/>
    </xf>
    <xf numFmtId="8" fontId="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41"/>
  <sheetViews>
    <sheetView tabSelected="1" zoomScalePageLayoutView="0" workbookViewId="0" topLeftCell="A1">
      <pane xSplit="18" ySplit="3" topLeftCell="Y4" activePane="bottomRight" state="frozen"/>
      <selection pane="topLeft" activeCell="A1" sqref="A1"/>
      <selection pane="topRight" activeCell="S1" sqref="S1"/>
      <selection pane="bottomLeft" activeCell="A7" sqref="A7"/>
      <selection pane="bottomRight" activeCell="D28" sqref="D28"/>
    </sheetView>
  </sheetViews>
  <sheetFormatPr defaultColWidth="9.140625" defaultRowHeight="12.75"/>
  <cols>
    <col min="1" max="1" width="53.7109375" style="0" customWidth="1"/>
    <col min="2" max="3" width="9.140625" style="17" hidden="1" customWidth="1"/>
    <col min="4" max="4" width="9.140625" style="17" customWidth="1"/>
    <col min="5" max="16" width="9.140625" style="0" hidden="1" customWidth="1"/>
    <col min="17" max="17" width="2.00390625" style="0" hidden="1" customWidth="1"/>
    <col min="18" max="18" width="13.421875" style="17" customWidth="1"/>
    <col min="19" max="19" width="12.00390625" style="17" customWidth="1"/>
    <col min="20" max="20" width="12.421875" style="58" hidden="1" customWidth="1"/>
    <col min="21" max="21" width="12.421875" style="17" hidden="1" customWidth="1"/>
    <col min="22" max="22" width="12.421875" style="53" hidden="1" customWidth="1"/>
    <col min="23" max="23" width="12.421875" style="17" hidden="1" customWidth="1"/>
    <col min="24" max="25" width="12.57421875" style="0" customWidth="1"/>
    <col min="26" max="26" width="12.421875" style="60" customWidth="1"/>
    <col min="27" max="29" width="11.7109375" style="0" customWidth="1"/>
    <col min="30" max="30" width="0" style="0" hidden="1" customWidth="1"/>
    <col min="31" max="31" width="9.140625" style="60" hidden="1" customWidth="1"/>
    <col min="32" max="32" width="9.140625" style="0" hidden="1" customWidth="1"/>
    <col min="33" max="33" width="3.421875" style="40" customWidth="1"/>
    <col min="34" max="34" width="9.140625" style="0" hidden="1" customWidth="1"/>
    <col min="35" max="35" width="10.140625" style="0" hidden="1" customWidth="1"/>
    <col min="36" max="36" width="9.140625" style="0" hidden="1" customWidth="1"/>
    <col min="37" max="37" width="10.140625" style="60" bestFit="1" customWidth="1"/>
    <col min="38" max="38" width="10.140625" style="0" customWidth="1"/>
    <col min="39" max="39" width="10.57421875" style="0" hidden="1" customWidth="1"/>
    <col min="40" max="40" width="3.7109375" style="40" customWidth="1"/>
    <col min="41" max="42" width="14.140625" style="68" customWidth="1"/>
    <col min="43" max="43" width="4.140625" style="40" customWidth="1"/>
    <col min="44" max="44" width="13.140625" style="72" customWidth="1"/>
    <col min="45" max="45" width="12.421875" style="74" customWidth="1"/>
    <col min="46" max="46" width="11.8515625" style="72" customWidth="1"/>
    <col min="47" max="47" width="13.140625" style="74" customWidth="1"/>
    <col min="48" max="48" width="4.28125" style="40" customWidth="1"/>
    <col min="49" max="50" width="14.28125" style="81" customWidth="1"/>
    <col min="51" max="51" width="9.140625" style="80" hidden="1" customWidth="1"/>
    <col min="52" max="52" width="13.00390625" style="0" customWidth="1"/>
    <col min="53" max="53" width="10.00390625" style="0" customWidth="1"/>
    <col min="54" max="54" width="5.00390625" style="40" customWidth="1"/>
    <col min="55" max="55" width="9.8515625" style="68" customWidth="1"/>
    <col min="56" max="56" width="10.140625" style="0" bestFit="1" customWidth="1"/>
    <col min="57" max="58" width="10.140625" style="0" customWidth="1"/>
    <col min="59" max="59" width="4.00390625" style="40" customWidth="1"/>
    <col min="60" max="60" width="10.00390625" style="60" customWidth="1"/>
    <col min="61" max="61" width="9.140625" style="60" customWidth="1"/>
    <col min="62" max="62" width="9.8515625" style="60" bestFit="1" customWidth="1"/>
    <col min="63" max="63" width="9.140625" style="60" customWidth="1"/>
    <col min="64" max="64" width="5.00390625" style="40" customWidth="1"/>
    <col min="65" max="65" width="9.7109375" style="0" bestFit="1" customWidth="1"/>
    <col min="66" max="67" width="11.140625" style="0" customWidth="1"/>
  </cols>
  <sheetData>
    <row r="1" spans="1:51" ht="47.25">
      <c r="A1" s="112" t="s">
        <v>77</v>
      </c>
      <c r="B1" s="14"/>
      <c r="C1" s="28" t="s">
        <v>0</v>
      </c>
      <c r="D1" s="18"/>
      <c r="E1" s="3" t="s">
        <v>1</v>
      </c>
      <c r="F1" s="2"/>
      <c r="G1" s="3" t="s">
        <v>1</v>
      </c>
      <c r="H1" s="1" t="s">
        <v>2</v>
      </c>
      <c r="I1" s="1"/>
      <c r="J1" s="1"/>
      <c r="K1" s="1"/>
      <c r="L1" s="1"/>
      <c r="M1" s="1"/>
      <c r="N1" s="1"/>
      <c r="O1" s="1"/>
      <c r="P1" s="1"/>
      <c r="Q1" s="1"/>
      <c r="AY1" s="77"/>
    </row>
    <row r="2" spans="1:68" ht="178.5">
      <c r="A2" s="21" t="s">
        <v>3</v>
      </c>
      <c r="B2" s="15" t="s">
        <v>4</v>
      </c>
      <c r="C2" s="29" t="s">
        <v>5</v>
      </c>
      <c r="D2" s="19" t="s">
        <v>6</v>
      </c>
      <c r="E2" s="6" t="s">
        <v>7</v>
      </c>
      <c r="F2" s="5" t="s">
        <v>8</v>
      </c>
      <c r="G2" s="6" t="s">
        <v>7</v>
      </c>
      <c r="H2" s="4">
        <v>10</v>
      </c>
      <c r="I2" s="4">
        <v>20</v>
      </c>
      <c r="J2" s="4">
        <v>25</v>
      </c>
      <c r="K2" s="4">
        <v>30</v>
      </c>
      <c r="L2" s="4">
        <v>40</v>
      </c>
      <c r="M2" s="4">
        <v>60</v>
      </c>
      <c r="N2" s="4">
        <v>70</v>
      </c>
      <c r="O2" s="4">
        <v>75</v>
      </c>
      <c r="P2" s="4">
        <v>80</v>
      </c>
      <c r="Q2" s="4">
        <v>90</v>
      </c>
      <c r="R2" s="32" t="s">
        <v>57</v>
      </c>
      <c r="S2" s="32" t="s">
        <v>20</v>
      </c>
      <c r="T2" s="90" t="s">
        <v>58</v>
      </c>
      <c r="U2" s="32" t="s">
        <v>24</v>
      </c>
      <c r="V2" s="54" t="s">
        <v>59</v>
      </c>
      <c r="W2" s="32" t="s">
        <v>26</v>
      </c>
      <c r="X2" s="32" t="s">
        <v>78</v>
      </c>
      <c r="Y2" s="32" t="s">
        <v>79</v>
      </c>
      <c r="Z2" s="62" t="s">
        <v>82</v>
      </c>
      <c r="AA2" s="32" t="s">
        <v>53</v>
      </c>
      <c r="AB2" s="62" t="s">
        <v>27</v>
      </c>
      <c r="AC2" s="32" t="s">
        <v>28</v>
      </c>
      <c r="AD2" s="32" t="s">
        <v>25</v>
      </c>
      <c r="AE2" s="54" t="s">
        <v>29</v>
      </c>
      <c r="AF2" s="32" t="s">
        <v>30</v>
      </c>
      <c r="AH2" s="42" t="s">
        <v>33</v>
      </c>
      <c r="AI2" s="42" t="s">
        <v>34</v>
      </c>
      <c r="AJ2" s="42" t="s">
        <v>35</v>
      </c>
      <c r="AK2" s="66" t="s">
        <v>60</v>
      </c>
      <c r="AL2" s="42" t="s">
        <v>80</v>
      </c>
      <c r="AM2" s="42" t="s">
        <v>48</v>
      </c>
      <c r="AN2" s="48"/>
      <c r="AO2" s="42" t="s">
        <v>61</v>
      </c>
      <c r="AP2" s="42" t="s">
        <v>62</v>
      </c>
      <c r="AQ2" s="48"/>
      <c r="AR2" s="82" t="s">
        <v>63</v>
      </c>
      <c r="AS2" s="42" t="s">
        <v>64</v>
      </c>
      <c r="AT2" s="82" t="s">
        <v>65</v>
      </c>
      <c r="AU2" s="82" t="s">
        <v>66</v>
      </c>
      <c r="AV2" s="48"/>
      <c r="AW2" s="82" t="s">
        <v>70</v>
      </c>
      <c r="AX2" s="82" t="s">
        <v>71</v>
      </c>
      <c r="AY2" s="78" t="s">
        <v>40</v>
      </c>
      <c r="AZ2" s="42" t="s">
        <v>72</v>
      </c>
      <c r="BA2" s="42" t="s">
        <v>51</v>
      </c>
      <c r="BB2" s="48"/>
      <c r="BC2" s="42" t="s">
        <v>73</v>
      </c>
      <c r="BD2" s="42" t="s">
        <v>39</v>
      </c>
      <c r="BE2" s="42" t="s">
        <v>74</v>
      </c>
      <c r="BF2" s="42" t="s">
        <v>44</v>
      </c>
      <c r="BH2" s="66" t="s">
        <v>43</v>
      </c>
      <c r="BI2" s="66" t="s">
        <v>41</v>
      </c>
      <c r="BJ2" s="82" t="s">
        <v>83</v>
      </c>
      <c r="BK2" s="66" t="s">
        <v>42</v>
      </c>
      <c r="BM2" s="66" t="s">
        <v>45</v>
      </c>
      <c r="BN2" s="66" t="s">
        <v>46</v>
      </c>
      <c r="BO2" s="82" t="s">
        <v>84</v>
      </c>
      <c r="BP2" s="66" t="s">
        <v>47</v>
      </c>
    </row>
    <row r="3" spans="1:90" s="68" customFormat="1" ht="12.75">
      <c r="A3" s="69" t="s">
        <v>21</v>
      </c>
      <c r="B3" s="70"/>
      <c r="C3" s="70"/>
      <c r="D3" s="70"/>
      <c r="E3" s="70"/>
      <c r="F3" s="70"/>
      <c r="G3" s="70"/>
      <c r="H3" s="70"/>
      <c r="I3" s="70"/>
      <c r="J3" s="70"/>
      <c r="K3" s="70"/>
      <c r="L3" s="70"/>
      <c r="M3" s="70"/>
      <c r="N3" s="70"/>
      <c r="O3" s="70"/>
      <c r="P3" s="70"/>
      <c r="Q3" s="70"/>
      <c r="R3" s="70"/>
      <c r="S3" s="70"/>
      <c r="T3" s="91"/>
      <c r="U3" s="71"/>
      <c r="V3" s="89"/>
      <c r="W3" s="71"/>
      <c r="Z3" s="72"/>
      <c r="AB3" s="73"/>
      <c r="AE3" s="72"/>
      <c r="AG3" s="40"/>
      <c r="AK3" s="72"/>
      <c r="AN3" s="40"/>
      <c r="AQ3" s="40"/>
      <c r="AR3" s="72"/>
      <c r="AS3" s="74"/>
      <c r="AT3" s="72"/>
      <c r="AU3" s="74"/>
      <c r="AV3" s="40"/>
      <c r="AW3" s="83"/>
      <c r="AX3" s="83"/>
      <c r="AY3" s="79"/>
      <c r="BB3" s="40"/>
      <c r="BG3" s="40"/>
      <c r="BH3" s="72"/>
      <c r="BI3" s="72"/>
      <c r="BJ3" s="72"/>
      <c r="BK3" s="72"/>
      <c r="BL3" s="40"/>
      <c r="BS3"/>
      <c r="BT3"/>
      <c r="BU3"/>
      <c r="BV3"/>
      <c r="BW3"/>
      <c r="BX3"/>
      <c r="BY3"/>
      <c r="BZ3"/>
      <c r="CA3"/>
      <c r="CB3"/>
      <c r="CC3"/>
      <c r="CD3"/>
      <c r="CE3"/>
      <c r="CF3"/>
      <c r="CG3"/>
      <c r="CH3"/>
      <c r="CI3"/>
      <c r="CJ3"/>
      <c r="CK3"/>
      <c r="CL3"/>
    </row>
    <row r="4" spans="1:90" s="17" customFormat="1" ht="12.75">
      <c r="A4" s="24" t="s">
        <v>9</v>
      </c>
      <c r="B4" s="16" t="s">
        <v>10</v>
      </c>
      <c r="C4" s="16">
        <v>396</v>
      </c>
      <c r="D4" s="20">
        <v>30013</v>
      </c>
      <c r="E4" s="22">
        <v>1.9</v>
      </c>
      <c r="F4" s="20">
        <v>30486</v>
      </c>
      <c r="G4" s="22">
        <v>3.2</v>
      </c>
      <c r="H4" s="20">
        <v>20744</v>
      </c>
      <c r="I4" s="23">
        <v>24554</v>
      </c>
      <c r="J4" s="23">
        <v>25546</v>
      </c>
      <c r="K4" s="23">
        <v>26459</v>
      </c>
      <c r="L4" s="23">
        <v>28051</v>
      </c>
      <c r="M4" s="23">
        <v>32139</v>
      </c>
      <c r="N4" s="23">
        <v>34115</v>
      </c>
      <c r="O4" s="23">
        <v>35252</v>
      </c>
      <c r="P4" s="23">
        <v>36730</v>
      </c>
      <c r="Q4" s="23">
        <v>40607</v>
      </c>
      <c r="R4" s="31">
        <v>6.5</v>
      </c>
      <c r="S4" s="31">
        <v>6</v>
      </c>
      <c r="T4" s="92">
        <f aca="true" t="shared" si="0" ref="T4:T9">D4/100*R4</f>
        <v>1950.845</v>
      </c>
      <c r="U4" s="33">
        <f aca="true" t="shared" si="1" ref="U4:U9">T4/52</f>
        <v>37.51625</v>
      </c>
      <c r="V4" s="55">
        <f>D4/100*S4</f>
        <v>1800.78</v>
      </c>
      <c r="W4" s="33">
        <f>E4/100*T4</f>
        <v>37.066055</v>
      </c>
      <c r="X4" s="31">
        <f>R4+1.26</f>
        <v>7.76</v>
      </c>
      <c r="Y4" s="31">
        <f>S4+1.26</f>
        <v>7.26</v>
      </c>
      <c r="Z4" s="55">
        <f>D4/100*X4</f>
        <v>2329.0088</v>
      </c>
      <c r="AA4" s="33">
        <f>Z4/52</f>
        <v>44.78863076923077</v>
      </c>
      <c r="AB4" s="64">
        <f>D4/100*Y4</f>
        <v>2178.9438</v>
      </c>
      <c r="AC4" s="33">
        <f>AB4/52</f>
        <v>41.902765384615385</v>
      </c>
      <c r="AD4" s="33">
        <f>AA4-U4</f>
        <v>7.272380769230772</v>
      </c>
      <c r="AE4" s="55">
        <f>AB4-V4</f>
        <v>378.16380000000004</v>
      </c>
      <c r="AF4" s="33">
        <f>AE4/52</f>
        <v>7.27238076923077</v>
      </c>
      <c r="AG4" s="41"/>
      <c r="AH4" s="33">
        <f aca="true" t="shared" si="2" ref="AH4:AH9">D4/100*$R$32</f>
        <v>1380.598</v>
      </c>
      <c r="AI4" s="33">
        <f aca="true" t="shared" si="3" ref="AI4:AI9">AH4+D4</f>
        <v>31393.597999999998</v>
      </c>
      <c r="AJ4" s="33">
        <f aca="true" t="shared" si="4" ref="AJ4:AJ9">AI4/100*$R$33</f>
        <v>1601.0734979999997</v>
      </c>
      <c r="AK4" s="55">
        <f>AI4+AJ4</f>
        <v>32994.671497999996</v>
      </c>
      <c r="AL4" s="33">
        <f>AK4-D4</f>
        <v>2981.671497999996</v>
      </c>
      <c r="AM4" s="33">
        <f>AL4+AE4</f>
        <v>3359.8352979999963</v>
      </c>
      <c r="AN4" s="41"/>
      <c r="AO4" s="51">
        <f aca="true" t="shared" si="5" ref="AO4:AO9">AK4/100*R4</f>
        <v>2144.65364737</v>
      </c>
      <c r="AP4" s="51">
        <f>AK4/100*S4</f>
        <v>1979.6802898799997</v>
      </c>
      <c r="AQ4" s="49"/>
      <c r="AR4" s="85">
        <f aca="true" t="shared" si="6" ref="AR4:AR9">AK4-AO4</f>
        <v>30850.017850629996</v>
      </c>
      <c r="AS4" s="67">
        <f>7509.65-126</f>
        <v>7383.65</v>
      </c>
      <c r="AT4" s="105">
        <f>AK4-AP4</f>
        <v>31014.991208119995</v>
      </c>
      <c r="AU4" s="67">
        <f>7562.44-126</f>
        <v>7436.44</v>
      </c>
      <c r="AV4" s="49"/>
      <c r="AW4" s="83">
        <f>D4-Z4</f>
        <v>27683.9912</v>
      </c>
      <c r="AX4" s="83">
        <f>D4-AB4</f>
        <v>27834.0562</v>
      </c>
      <c r="AY4" s="114">
        <v>6329.41</v>
      </c>
      <c r="AZ4" s="115">
        <v>6370.52</v>
      </c>
      <c r="BA4" s="115">
        <v>6418.54</v>
      </c>
      <c r="BB4" s="76"/>
      <c r="BC4" s="67">
        <f aca="true" t="shared" si="7" ref="BC4:BC9">AK4-AO4-AS4</f>
        <v>23466.36785063</v>
      </c>
      <c r="BD4" s="33">
        <f>D4-Z4-AZ4</f>
        <v>21313.4712</v>
      </c>
      <c r="BE4" s="33">
        <f>AK4-AP4-AU4</f>
        <v>23578.551208119996</v>
      </c>
      <c r="BF4" s="33">
        <f>D4-AB4-BA4</f>
        <v>21415.5162</v>
      </c>
      <c r="BG4" s="41"/>
      <c r="BH4" s="87">
        <f aca="true" t="shared" si="8" ref="BH4:BH9">BD4-BC4</f>
        <v>-2152.8966506299985</v>
      </c>
      <c r="BI4" s="106">
        <f aca="true" t="shared" si="9" ref="BI4:BI9">BH4/BC4</f>
        <v>-0.0917439232323378</v>
      </c>
      <c r="BJ4" s="87">
        <f aca="true" t="shared" si="10" ref="BJ4:BJ9">BH4/12</f>
        <v>-179.40805421916653</v>
      </c>
      <c r="BK4" s="87">
        <f aca="true" t="shared" si="11" ref="BK4:BK9">BH4/52</f>
        <v>-41.40185866596151</v>
      </c>
      <c r="BL4" s="41"/>
      <c r="BM4" s="55">
        <f>BF4-BE4</f>
        <v>-2163.0350081199977</v>
      </c>
      <c r="BN4" s="106">
        <f>BM4/BE4</f>
        <v>-0.0917374010399371</v>
      </c>
      <c r="BO4" s="55">
        <f>BM4/12</f>
        <v>-180.25291734333314</v>
      </c>
      <c r="BP4" s="55">
        <f>BM4/52</f>
        <v>-41.59682707923072</v>
      </c>
      <c r="BS4"/>
      <c r="BT4"/>
      <c r="BU4"/>
      <c r="BV4"/>
      <c r="BW4"/>
      <c r="BX4"/>
      <c r="BY4"/>
      <c r="BZ4"/>
      <c r="CA4"/>
      <c r="CB4"/>
      <c r="CC4"/>
      <c r="CD4"/>
      <c r="CE4"/>
      <c r="CF4"/>
      <c r="CG4"/>
      <c r="CH4"/>
      <c r="CI4"/>
      <c r="CJ4"/>
      <c r="CK4"/>
      <c r="CL4"/>
    </row>
    <row r="5" spans="1:68" ht="12.75">
      <c r="A5" s="24" t="s">
        <v>11</v>
      </c>
      <c r="B5" s="16" t="s">
        <v>12</v>
      </c>
      <c r="C5" s="25">
        <v>54</v>
      </c>
      <c r="D5" s="20">
        <v>30759</v>
      </c>
      <c r="E5" s="8">
        <v>1.4</v>
      </c>
      <c r="F5" s="7">
        <v>31696</v>
      </c>
      <c r="G5" s="8">
        <v>1.5</v>
      </c>
      <c r="H5" s="10">
        <v>25930</v>
      </c>
      <c r="I5" s="9">
        <v>28853</v>
      </c>
      <c r="J5" s="9">
        <v>29189</v>
      </c>
      <c r="K5" s="9">
        <v>29428</v>
      </c>
      <c r="L5" s="9">
        <v>29905</v>
      </c>
      <c r="M5" s="9">
        <v>32510</v>
      </c>
      <c r="N5" s="9">
        <v>34494</v>
      </c>
      <c r="O5" s="9">
        <v>35153</v>
      </c>
      <c r="P5" s="9">
        <v>35709</v>
      </c>
      <c r="Q5" s="11" t="s">
        <v>13</v>
      </c>
      <c r="R5" s="31">
        <v>8.5</v>
      </c>
      <c r="S5" s="31">
        <v>11</v>
      </c>
      <c r="T5" s="92">
        <f t="shared" si="0"/>
        <v>2614.515</v>
      </c>
      <c r="U5" s="33">
        <f t="shared" si="1"/>
        <v>50.27913461538461</v>
      </c>
      <c r="V5" s="55">
        <f>D5/100*S5</f>
        <v>3383.49</v>
      </c>
      <c r="W5" s="33">
        <f>E5/100*T5</f>
        <v>36.60321</v>
      </c>
      <c r="X5" s="31">
        <f>R5+1.26</f>
        <v>9.76</v>
      </c>
      <c r="Y5" s="31">
        <f>S5+1.26</f>
        <v>12.26</v>
      </c>
      <c r="Z5" s="55">
        <f>D5/100*X5</f>
        <v>3002.0784</v>
      </c>
      <c r="AA5" s="33">
        <f aca="true" t="shared" si="12" ref="AA5:AC9">Z5/52</f>
        <v>57.732276923076924</v>
      </c>
      <c r="AB5" s="64">
        <f>D5/100*Y5</f>
        <v>3771.0534</v>
      </c>
      <c r="AC5" s="33">
        <f t="shared" si="12"/>
        <v>72.5202576923077</v>
      </c>
      <c r="AD5" s="33">
        <f>AA5-U5</f>
        <v>7.4531423076923105</v>
      </c>
      <c r="AE5" s="55">
        <f>AB5-V5</f>
        <v>387.5634</v>
      </c>
      <c r="AF5" s="33">
        <f>AE5/52</f>
        <v>7.453142307692308</v>
      </c>
      <c r="AH5" s="33">
        <f t="shared" si="2"/>
        <v>1414.9139999999998</v>
      </c>
      <c r="AI5" s="33">
        <f t="shared" si="3"/>
        <v>32173.914</v>
      </c>
      <c r="AJ5" s="33">
        <f t="shared" si="4"/>
        <v>1640.869614</v>
      </c>
      <c r="AK5" s="55">
        <f>AI5+AJ5</f>
        <v>33814.783614</v>
      </c>
      <c r="AL5" s="33">
        <f>AK5-D5</f>
        <v>3055.783614</v>
      </c>
      <c r="AM5" s="33">
        <f>AL5+AE5</f>
        <v>3443.347014</v>
      </c>
      <c r="AO5" s="51">
        <f t="shared" si="5"/>
        <v>2874.25660719</v>
      </c>
      <c r="AP5" s="51">
        <f>AK5/100*S5</f>
        <v>3719.62619754</v>
      </c>
      <c r="AQ5" s="49"/>
      <c r="AR5" s="85">
        <f t="shared" si="6"/>
        <v>30940.52700681</v>
      </c>
      <c r="AS5" s="67">
        <f>7538.61-126</f>
        <v>7412.61</v>
      </c>
      <c r="AT5" s="105">
        <f>AK5-AP5</f>
        <v>30095.15741646</v>
      </c>
      <c r="AU5" s="67">
        <f>7268.09-126</f>
        <v>7142.09</v>
      </c>
      <c r="AV5" s="49"/>
      <c r="AW5" s="83">
        <f>D5-Z5</f>
        <v>27756.9216</v>
      </c>
      <c r="AX5" s="83">
        <f>D5-AB5</f>
        <v>26987.9466</v>
      </c>
      <c r="AY5" s="114">
        <v>6348.59</v>
      </c>
      <c r="AZ5" s="115">
        <v>6393.85</v>
      </c>
      <c r="BA5" s="115">
        <v>6147.78</v>
      </c>
      <c r="BB5" s="76"/>
      <c r="BC5" s="67">
        <f t="shared" si="7"/>
        <v>23527.91700681</v>
      </c>
      <c r="BD5" s="33">
        <f>D5-Z5-AZ5</f>
        <v>21363.071600000003</v>
      </c>
      <c r="BE5" s="33">
        <f>AK5-AP5-AU5</f>
        <v>22953.06741646</v>
      </c>
      <c r="BF5" s="33">
        <f>D5-AB5-BA5</f>
        <v>20840.1666</v>
      </c>
      <c r="BH5" s="87">
        <f t="shared" si="8"/>
        <v>-2164.8454068099963</v>
      </c>
      <c r="BI5" s="106">
        <f t="shared" si="9"/>
        <v>-0.09201177504083324</v>
      </c>
      <c r="BJ5" s="87">
        <f t="shared" si="10"/>
        <v>-180.40378390083302</v>
      </c>
      <c r="BK5" s="87">
        <f t="shared" si="11"/>
        <v>-41.63164243865378</v>
      </c>
      <c r="BM5" s="55">
        <f>BF5-BE5</f>
        <v>-2112.900816459998</v>
      </c>
      <c r="BN5" s="106">
        <f>BM5/BE5</f>
        <v>-0.09205309155955357</v>
      </c>
      <c r="BO5" s="55">
        <f>BM5/12</f>
        <v>-176.07506803833317</v>
      </c>
      <c r="BP5" s="55">
        <f>BM5/52</f>
        <v>-40.632708008846116</v>
      </c>
    </row>
    <row r="6" spans="1:90" s="17" customFormat="1" ht="12.75">
      <c r="A6" s="24" t="s">
        <v>14</v>
      </c>
      <c r="B6" s="16" t="s">
        <v>15</v>
      </c>
      <c r="C6" s="25">
        <v>80</v>
      </c>
      <c r="D6" s="20">
        <v>31379</v>
      </c>
      <c r="E6" s="22">
        <v>2.7</v>
      </c>
      <c r="F6" s="20">
        <v>31242</v>
      </c>
      <c r="G6" s="22">
        <v>3.6</v>
      </c>
      <c r="H6" s="20">
        <v>21890</v>
      </c>
      <c r="I6" s="23">
        <v>25797</v>
      </c>
      <c r="J6" s="23">
        <v>26540</v>
      </c>
      <c r="K6" s="23">
        <v>27607</v>
      </c>
      <c r="L6" s="23">
        <v>29848</v>
      </c>
      <c r="M6" s="23">
        <v>33124</v>
      </c>
      <c r="N6" s="23">
        <v>34609</v>
      </c>
      <c r="O6" s="23">
        <v>35549</v>
      </c>
      <c r="P6" s="23">
        <v>36628</v>
      </c>
      <c r="Q6" s="26">
        <v>39588</v>
      </c>
      <c r="R6" s="31">
        <v>6.5</v>
      </c>
      <c r="S6" s="31"/>
      <c r="T6" s="92">
        <f t="shared" si="0"/>
        <v>2039.6350000000002</v>
      </c>
      <c r="U6" s="33">
        <f t="shared" si="1"/>
        <v>39.22375</v>
      </c>
      <c r="V6" s="55"/>
      <c r="W6" s="33"/>
      <c r="X6" s="31">
        <f>R6+1.26</f>
        <v>7.76</v>
      </c>
      <c r="Y6" s="31"/>
      <c r="Z6" s="55">
        <f>D6/100*X6</f>
        <v>2435.0104</v>
      </c>
      <c r="AA6" s="33">
        <f t="shared" si="12"/>
        <v>46.82712307692308</v>
      </c>
      <c r="AB6" s="64"/>
      <c r="AC6" s="33"/>
      <c r="AD6" s="33">
        <f>AA6-U6</f>
        <v>7.603373076923077</v>
      </c>
      <c r="AE6" s="53"/>
      <c r="AG6" s="41"/>
      <c r="AH6" s="33">
        <f t="shared" si="2"/>
        <v>1443.434</v>
      </c>
      <c r="AI6" s="33">
        <f t="shared" si="3"/>
        <v>32822.434</v>
      </c>
      <c r="AJ6" s="33">
        <f t="shared" si="4"/>
        <v>1673.9441339999998</v>
      </c>
      <c r="AK6" s="55">
        <f>AI6+AJ6</f>
        <v>34496.378134</v>
      </c>
      <c r="AL6" s="33">
        <f>AK6-D6</f>
        <v>3117.3781339999987</v>
      </c>
      <c r="AM6" s="33" t="s">
        <v>38</v>
      </c>
      <c r="AN6" s="41"/>
      <c r="AO6" s="51">
        <f t="shared" si="5"/>
        <v>2242.26457871</v>
      </c>
      <c r="AP6" s="51" t="s">
        <v>38</v>
      </c>
      <c r="AQ6" s="49"/>
      <c r="AR6" s="85">
        <f t="shared" si="6"/>
        <v>32254.113555289998</v>
      </c>
      <c r="AS6" s="67">
        <f>7958.96-126</f>
        <v>7832.96</v>
      </c>
      <c r="AT6" s="105" t="s">
        <v>38</v>
      </c>
      <c r="AU6" s="67" t="s">
        <v>38</v>
      </c>
      <c r="AV6" s="49"/>
      <c r="AW6" s="83">
        <f>D6-Z6</f>
        <v>28943.9896</v>
      </c>
      <c r="AX6" s="83" t="s">
        <v>38</v>
      </c>
      <c r="AY6" s="114">
        <v>6725</v>
      </c>
      <c r="AZ6" s="115">
        <v>6773.72</v>
      </c>
      <c r="BA6" s="17" t="s">
        <v>38</v>
      </c>
      <c r="BB6" s="76"/>
      <c r="BC6" s="67">
        <f t="shared" si="7"/>
        <v>24421.15355529</v>
      </c>
      <c r="BD6" s="33">
        <f>D6-Z6-AZ6</f>
        <v>22170.2696</v>
      </c>
      <c r="BE6" s="33" t="s">
        <v>38</v>
      </c>
      <c r="BF6" s="33" t="s">
        <v>38</v>
      </c>
      <c r="BG6" s="41"/>
      <c r="BH6" s="87">
        <f t="shared" si="8"/>
        <v>-2250.883955289999</v>
      </c>
      <c r="BI6" s="106">
        <f t="shared" si="9"/>
        <v>-0.09216943623051839</v>
      </c>
      <c r="BJ6" s="87">
        <f t="shared" si="10"/>
        <v>-187.57366294083326</v>
      </c>
      <c r="BK6" s="87">
        <f t="shared" si="11"/>
        <v>-43.28622990942306</v>
      </c>
      <c r="BL6" s="41"/>
      <c r="BM6" s="55" t="s">
        <v>38</v>
      </c>
      <c r="BN6" s="55" t="s">
        <v>38</v>
      </c>
      <c r="BO6" s="64" t="s">
        <v>38</v>
      </c>
      <c r="BP6" s="55" t="s">
        <v>38</v>
      </c>
      <c r="BS6"/>
      <c r="BT6"/>
      <c r="BU6"/>
      <c r="BV6"/>
      <c r="BW6"/>
      <c r="BX6"/>
      <c r="BY6"/>
      <c r="BZ6"/>
      <c r="CA6"/>
      <c r="CB6"/>
      <c r="CC6"/>
      <c r="CD6"/>
      <c r="CE6"/>
      <c r="CF6"/>
      <c r="CG6"/>
      <c r="CH6"/>
      <c r="CI6"/>
      <c r="CJ6"/>
      <c r="CK6"/>
      <c r="CL6"/>
    </row>
    <row r="7" spans="1:68" ht="12.75">
      <c r="A7" s="24" t="s">
        <v>16</v>
      </c>
      <c r="B7" s="16" t="s">
        <v>17</v>
      </c>
      <c r="C7" s="16">
        <v>311</v>
      </c>
      <c r="D7" s="20">
        <v>36308</v>
      </c>
      <c r="E7" s="8">
        <v>0.3</v>
      </c>
      <c r="F7" s="7">
        <v>36817</v>
      </c>
      <c r="G7" s="8">
        <v>0</v>
      </c>
      <c r="H7" s="7">
        <v>23659</v>
      </c>
      <c r="I7" s="9">
        <v>27821</v>
      </c>
      <c r="J7" s="9">
        <v>29674</v>
      </c>
      <c r="K7" s="9">
        <v>31269</v>
      </c>
      <c r="L7" s="9">
        <v>34194</v>
      </c>
      <c r="M7" s="9">
        <v>38974</v>
      </c>
      <c r="N7" s="9">
        <v>41351</v>
      </c>
      <c r="O7" s="9">
        <v>42207</v>
      </c>
      <c r="P7" s="9">
        <v>43839</v>
      </c>
      <c r="Q7" s="12">
        <v>49668</v>
      </c>
      <c r="R7" s="31">
        <v>6.4</v>
      </c>
      <c r="S7" s="31">
        <v>6</v>
      </c>
      <c r="T7" s="92">
        <f t="shared" si="0"/>
        <v>2323.712</v>
      </c>
      <c r="U7" s="33">
        <f t="shared" si="1"/>
        <v>44.68676923076923</v>
      </c>
      <c r="V7" s="55">
        <f>D7/100*S7</f>
        <v>2178.48</v>
      </c>
      <c r="W7" s="33">
        <f>E7/100*T7</f>
        <v>6.971136</v>
      </c>
      <c r="X7" s="31">
        <f>R7+1.26</f>
        <v>7.66</v>
      </c>
      <c r="Y7" s="31">
        <f>S7+1.26</f>
        <v>7.26</v>
      </c>
      <c r="Z7" s="55">
        <f>D7/100*X7</f>
        <v>2781.1928</v>
      </c>
      <c r="AA7" s="33">
        <f t="shared" si="12"/>
        <v>53.48447692307692</v>
      </c>
      <c r="AB7" s="64">
        <f>D7/100*Y7</f>
        <v>2635.9608</v>
      </c>
      <c r="AC7" s="33">
        <f t="shared" si="12"/>
        <v>50.691553846153845</v>
      </c>
      <c r="AD7" s="33">
        <f>AA7-U7</f>
        <v>8.79770769230769</v>
      </c>
      <c r="AE7" s="55">
        <f>AB7-V7</f>
        <v>457.4807999999998</v>
      </c>
      <c r="AF7" s="33">
        <f>AE7/52</f>
        <v>8.79770769230769</v>
      </c>
      <c r="AH7" s="33">
        <f t="shared" si="2"/>
        <v>1670.168</v>
      </c>
      <c r="AI7" s="33">
        <f t="shared" si="3"/>
        <v>37978.168</v>
      </c>
      <c r="AJ7" s="33">
        <f t="shared" si="4"/>
        <v>1936.886568</v>
      </c>
      <c r="AK7" s="55">
        <f>AI7+AJ7</f>
        <v>39915.054568</v>
      </c>
      <c r="AL7" s="33">
        <f>AK7-D7</f>
        <v>3607.0545679999996</v>
      </c>
      <c r="AM7" s="33">
        <f>AL7+AE7</f>
        <v>4064.5353679999994</v>
      </c>
      <c r="AO7" s="51">
        <f t="shared" si="5"/>
        <v>2554.563492352</v>
      </c>
      <c r="AP7" s="51">
        <f>AK7/100*S7</f>
        <v>2394.90327408</v>
      </c>
      <c r="AQ7" s="49"/>
      <c r="AR7" s="85">
        <f t="shared" si="6"/>
        <v>37360.491075648</v>
      </c>
      <c r="AS7" s="67">
        <f>9593-126</f>
        <v>9467</v>
      </c>
      <c r="AT7" s="105">
        <f>AK7-AP7</f>
        <v>37520.15129392</v>
      </c>
      <c r="AU7" s="67">
        <f>9644.09-126</f>
        <v>9518.09</v>
      </c>
      <c r="AV7" s="49"/>
      <c r="AW7" s="83">
        <f>D7-Z7</f>
        <v>33526.8072</v>
      </c>
      <c r="AX7" s="83">
        <f>D7-AB7</f>
        <v>33672.0392</v>
      </c>
      <c r="AY7" s="114">
        <v>8164.06</v>
      </c>
      <c r="AZ7" s="115">
        <v>8240.22</v>
      </c>
      <c r="BA7" s="115">
        <v>8286.69</v>
      </c>
      <c r="BB7" s="76"/>
      <c r="BC7" s="67">
        <f t="shared" si="7"/>
        <v>27893.491075648002</v>
      </c>
      <c r="BD7" s="33">
        <f>D7-Z7-AZ7</f>
        <v>25286.5872</v>
      </c>
      <c r="BE7" s="33">
        <f>AK7-AP7-AU7</f>
        <v>28002.061293919996</v>
      </c>
      <c r="BF7" s="33">
        <f>D7-AB7-BA7</f>
        <v>25385.349199999997</v>
      </c>
      <c r="BH7" s="87">
        <f t="shared" si="8"/>
        <v>-2606.9038756480004</v>
      </c>
      <c r="BI7" s="106">
        <f t="shared" si="9"/>
        <v>-0.09345921844555051</v>
      </c>
      <c r="BJ7" s="87">
        <f t="shared" si="10"/>
        <v>-217.24198963733338</v>
      </c>
      <c r="BK7" s="87">
        <f t="shared" si="11"/>
        <v>-50.13276683938462</v>
      </c>
      <c r="BM7" s="55">
        <f>BF7-BE7</f>
        <v>-2616.7120939199995</v>
      </c>
      <c r="BN7" s="106">
        <f>BM7/BE7</f>
        <v>-0.09344712399755221</v>
      </c>
      <c r="BO7" s="55">
        <f>BM7/12</f>
        <v>-218.05934115999995</v>
      </c>
      <c r="BP7" s="55">
        <f>BM7/52</f>
        <v>-50.32138642153845</v>
      </c>
    </row>
    <row r="8" spans="1:68" ht="12.75">
      <c r="A8" s="24" t="s">
        <v>18</v>
      </c>
      <c r="B8" s="16" t="s">
        <v>19</v>
      </c>
      <c r="C8" s="25">
        <v>47</v>
      </c>
      <c r="D8" s="20">
        <v>25785</v>
      </c>
      <c r="E8" s="8">
        <v>4.2</v>
      </c>
      <c r="F8" s="7">
        <v>26286</v>
      </c>
      <c r="G8" s="8">
        <v>4.8</v>
      </c>
      <c r="H8" s="7">
        <v>19882</v>
      </c>
      <c r="I8" s="9">
        <v>21763</v>
      </c>
      <c r="J8" s="9">
        <v>22870</v>
      </c>
      <c r="K8" s="9">
        <v>23405</v>
      </c>
      <c r="L8" s="9">
        <v>24607</v>
      </c>
      <c r="M8" s="9">
        <v>26499</v>
      </c>
      <c r="N8" s="9">
        <v>28068</v>
      </c>
      <c r="O8" s="9">
        <v>29072</v>
      </c>
      <c r="P8" s="12">
        <v>29883</v>
      </c>
      <c r="Q8" s="11" t="s">
        <v>13</v>
      </c>
      <c r="R8" s="31">
        <v>3.5</v>
      </c>
      <c r="S8" s="31"/>
      <c r="T8" s="92">
        <f t="shared" si="0"/>
        <v>902.4750000000001</v>
      </c>
      <c r="U8" s="33">
        <f t="shared" si="1"/>
        <v>17.355288461538464</v>
      </c>
      <c r="V8" s="55"/>
      <c r="W8" s="33"/>
      <c r="X8" s="31">
        <f>R8+1.26</f>
        <v>4.76</v>
      </c>
      <c r="Y8" s="31"/>
      <c r="Z8" s="55">
        <f>D8/100*X8</f>
        <v>1227.366</v>
      </c>
      <c r="AA8" s="33">
        <f t="shared" si="12"/>
        <v>23.603192307692307</v>
      </c>
      <c r="AB8" s="64"/>
      <c r="AC8" s="33"/>
      <c r="AD8" s="33">
        <f>AA8-U8</f>
        <v>6.247903846153843</v>
      </c>
      <c r="AF8" s="33"/>
      <c r="AH8" s="33">
        <f t="shared" si="2"/>
        <v>1186.11</v>
      </c>
      <c r="AI8" s="33">
        <f t="shared" si="3"/>
        <v>26971.11</v>
      </c>
      <c r="AJ8" s="33">
        <f t="shared" si="4"/>
        <v>1375.52661</v>
      </c>
      <c r="AK8" s="55">
        <f>AI8+AJ8</f>
        <v>28346.63661</v>
      </c>
      <c r="AL8" s="33">
        <f>AK8-D8</f>
        <v>2561.6366100000014</v>
      </c>
      <c r="AM8" s="33" t="s">
        <v>38</v>
      </c>
      <c r="AO8" s="51">
        <f t="shared" si="5"/>
        <v>992.1322813500001</v>
      </c>
      <c r="AP8" s="51" t="s">
        <v>38</v>
      </c>
      <c r="AQ8" s="49"/>
      <c r="AR8" s="85">
        <f t="shared" si="6"/>
        <v>27354.50432865</v>
      </c>
      <c r="AS8" s="67">
        <f>6391.08-126</f>
        <v>6265.08</v>
      </c>
      <c r="AT8" s="105" t="s">
        <v>38</v>
      </c>
      <c r="AU8" s="67" t="s">
        <v>38</v>
      </c>
      <c r="AV8" s="49"/>
      <c r="AW8" s="83">
        <f>D8-Z8</f>
        <v>24557.634</v>
      </c>
      <c r="AX8" s="83" t="s">
        <v>38</v>
      </c>
      <c r="AY8" s="114">
        <v>5352.51</v>
      </c>
      <c r="AZ8" s="115">
        <v>5370.08</v>
      </c>
      <c r="BA8" s="17" t="s">
        <v>38</v>
      </c>
      <c r="BB8" s="76"/>
      <c r="BC8" s="67">
        <f t="shared" si="7"/>
        <v>21089.42432865</v>
      </c>
      <c r="BD8" s="33">
        <f>D8-Z8-AZ8</f>
        <v>19187.553999999996</v>
      </c>
      <c r="BE8" s="33" t="s">
        <v>38</v>
      </c>
      <c r="BF8" s="33"/>
      <c r="BH8" s="87">
        <f t="shared" si="8"/>
        <v>-1901.8703286500022</v>
      </c>
      <c r="BI8" s="106">
        <f t="shared" si="9"/>
        <v>-0.09018123486975933</v>
      </c>
      <c r="BJ8" s="87">
        <f t="shared" si="10"/>
        <v>-158.48919405416686</v>
      </c>
      <c r="BK8" s="87">
        <f t="shared" si="11"/>
        <v>-36.57442939711542</v>
      </c>
      <c r="BM8" s="55" t="s">
        <v>38</v>
      </c>
      <c r="BN8" s="55" t="s">
        <v>38</v>
      </c>
      <c r="BO8" s="64" t="s">
        <v>38</v>
      </c>
      <c r="BP8" s="55" t="s">
        <v>38</v>
      </c>
    </row>
    <row r="9" spans="1:68" ht="12.75">
      <c r="A9" s="24" t="s">
        <v>22</v>
      </c>
      <c r="B9" s="16" t="s">
        <v>23</v>
      </c>
      <c r="C9" s="16">
        <v>142</v>
      </c>
      <c r="D9" s="95">
        <v>18171</v>
      </c>
      <c r="E9" s="8">
        <v>2.4</v>
      </c>
      <c r="F9" s="7">
        <v>18667</v>
      </c>
      <c r="G9" s="8">
        <v>2.9</v>
      </c>
      <c r="H9" s="7">
        <v>13355</v>
      </c>
      <c r="I9" s="9">
        <v>15289</v>
      </c>
      <c r="J9" s="9">
        <v>15877</v>
      </c>
      <c r="K9" s="9">
        <v>16382</v>
      </c>
      <c r="L9" s="9">
        <v>17302</v>
      </c>
      <c r="M9" s="9">
        <v>19253</v>
      </c>
      <c r="N9" s="9">
        <v>20305</v>
      </c>
      <c r="O9" s="9">
        <v>20896</v>
      </c>
      <c r="P9" s="9">
        <v>21783</v>
      </c>
      <c r="Q9" s="12">
        <v>23825</v>
      </c>
      <c r="R9" s="31">
        <v>6.5</v>
      </c>
      <c r="S9" s="31">
        <v>6</v>
      </c>
      <c r="T9" s="92">
        <f t="shared" si="0"/>
        <v>1181.115</v>
      </c>
      <c r="U9" s="33">
        <f t="shared" si="1"/>
        <v>22.71375</v>
      </c>
      <c r="V9" s="55">
        <f>D9/100*S9</f>
        <v>1090.26</v>
      </c>
      <c r="W9" s="33">
        <f>E9/100*T9</f>
        <v>28.34676</v>
      </c>
      <c r="X9" s="31">
        <f>R9+1.26</f>
        <v>7.76</v>
      </c>
      <c r="Y9" s="31">
        <f>S9+1.26</f>
        <v>7.26</v>
      </c>
      <c r="Z9" s="55">
        <f>(D9+500)/100*X9</f>
        <v>1448.8696</v>
      </c>
      <c r="AA9" s="33">
        <f t="shared" si="12"/>
        <v>27.86287692307692</v>
      </c>
      <c r="AB9" s="64">
        <f>(D9+500)/100*Y9</f>
        <v>1355.5146</v>
      </c>
      <c r="AC9" s="33">
        <f t="shared" si="12"/>
        <v>26.06758846153846</v>
      </c>
      <c r="AD9" s="33">
        <f>AA9-U9</f>
        <v>5.1491269230769205</v>
      </c>
      <c r="AE9" s="55">
        <f>AB9-V9</f>
        <v>265.2546</v>
      </c>
      <c r="AF9" s="33">
        <f>AE9/52</f>
        <v>5.10105</v>
      </c>
      <c r="AH9" s="33">
        <f t="shared" si="2"/>
        <v>835.866</v>
      </c>
      <c r="AI9" s="33">
        <f t="shared" si="3"/>
        <v>19006.866</v>
      </c>
      <c r="AJ9" s="33">
        <f t="shared" si="4"/>
        <v>969.3501660000001</v>
      </c>
      <c r="AK9" s="55">
        <f>AI9+AJ9</f>
        <v>19976.216166000002</v>
      </c>
      <c r="AL9" s="33">
        <f>AK9-(D9+500)</f>
        <v>1305.216166000002</v>
      </c>
      <c r="AM9" s="33">
        <f>AL9+AE9</f>
        <v>1570.470766000002</v>
      </c>
      <c r="AO9" s="51">
        <f t="shared" si="5"/>
        <v>1298.45405079</v>
      </c>
      <c r="AP9" s="51">
        <f>AK9/100*S9</f>
        <v>1198.5729699600001</v>
      </c>
      <c r="AQ9" s="49"/>
      <c r="AR9" s="85">
        <f t="shared" si="6"/>
        <v>18677.762115210004</v>
      </c>
      <c r="AS9" s="67">
        <f>3614.52-126</f>
        <v>3488.52</v>
      </c>
      <c r="AT9" s="105">
        <f>AK9-AP9</f>
        <v>18777.64319604</v>
      </c>
      <c r="AU9" s="67">
        <f>3646.48-126</f>
        <v>3520.48</v>
      </c>
      <c r="AV9" s="49"/>
      <c r="AW9" s="83">
        <f>(D9+500)-Z9</f>
        <v>17222.130400000002</v>
      </c>
      <c r="AX9" s="83">
        <f>(D9+500)-AB9</f>
        <v>17315.4854</v>
      </c>
      <c r="AY9" s="116">
        <v>3059.96</v>
      </c>
      <c r="AZ9" s="115">
        <v>3022.72</v>
      </c>
      <c r="BA9" s="115">
        <v>3052.6</v>
      </c>
      <c r="BB9" s="76"/>
      <c r="BC9" s="67">
        <f t="shared" si="7"/>
        <v>15189.242115210003</v>
      </c>
      <c r="BD9" s="33">
        <f>(D9+500)-Z9-AZ9</f>
        <v>14199.410400000002</v>
      </c>
      <c r="BE9" s="51">
        <f>(AK9)-AP9-AU9</f>
        <v>15257.163196040001</v>
      </c>
      <c r="BF9" s="33">
        <f>(D9+500)-AB9-BA9</f>
        <v>14262.885400000001</v>
      </c>
      <c r="BH9" s="87">
        <f t="shared" si="8"/>
        <v>-989.8317152100008</v>
      </c>
      <c r="BI9" s="106">
        <f t="shared" si="9"/>
        <v>-0.06516662962524089</v>
      </c>
      <c r="BJ9" s="87">
        <f t="shared" si="10"/>
        <v>-82.48597626750006</v>
      </c>
      <c r="BK9" s="87">
        <f t="shared" si="11"/>
        <v>-19.035225292500016</v>
      </c>
      <c r="BM9" s="55">
        <f>BF9-BE9</f>
        <v>-994.2777960399999</v>
      </c>
      <c r="BN9" s="106">
        <f>BM9/BE9</f>
        <v>-0.06516793346603678</v>
      </c>
      <c r="BO9" s="55">
        <f>BM9/12</f>
        <v>-82.85648300333332</v>
      </c>
      <c r="BP9" s="55">
        <f>BM9/52</f>
        <v>-19.120726846923073</v>
      </c>
    </row>
    <row r="10" spans="1:90" s="37" customFormat="1" ht="12.75">
      <c r="A10" s="34"/>
      <c r="B10" s="35"/>
      <c r="C10" s="36"/>
      <c r="D10" s="36"/>
      <c r="R10" s="38"/>
      <c r="S10" s="38"/>
      <c r="T10" s="93"/>
      <c r="U10" s="39"/>
      <c r="V10" s="56"/>
      <c r="W10" s="39"/>
      <c r="Z10" s="61"/>
      <c r="AB10" s="65"/>
      <c r="AE10" s="61"/>
      <c r="AK10" s="61"/>
      <c r="AQ10" s="47"/>
      <c r="AR10" s="47"/>
      <c r="AS10" s="47"/>
      <c r="AT10" s="47"/>
      <c r="AU10" s="47"/>
      <c r="AV10" s="47"/>
      <c r="AW10" s="117"/>
      <c r="AX10" s="117"/>
      <c r="AY10" s="117"/>
      <c r="AZ10" s="36"/>
      <c r="BA10" s="36"/>
      <c r="BB10" s="40"/>
      <c r="BG10" s="40"/>
      <c r="BH10" s="61"/>
      <c r="BI10" s="108"/>
      <c r="BJ10" s="108"/>
      <c r="BK10" s="61"/>
      <c r="BL10" s="40"/>
      <c r="BM10" s="61"/>
      <c r="BN10" s="108"/>
      <c r="BO10" s="108"/>
      <c r="BP10" s="61"/>
      <c r="BS10"/>
      <c r="BT10"/>
      <c r="BU10"/>
      <c r="BV10"/>
      <c r="BW10"/>
      <c r="BX10"/>
      <c r="BY10"/>
      <c r="BZ10"/>
      <c r="CA10"/>
      <c r="CB10"/>
      <c r="CC10"/>
      <c r="CD10"/>
      <c r="CE10"/>
      <c r="CF10"/>
      <c r="CG10"/>
      <c r="CH10"/>
      <c r="CI10"/>
      <c r="CJ10"/>
      <c r="CK10"/>
      <c r="CL10"/>
    </row>
    <row r="11" spans="1:68" ht="12.75">
      <c r="A11" s="27" t="s">
        <v>69</v>
      </c>
      <c r="B11" s="16"/>
      <c r="R11" s="31"/>
      <c r="S11" s="31"/>
      <c r="T11" s="92"/>
      <c r="U11" s="33"/>
      <c r="V11" s="55"/>
      <c r="W11" s="33"/>
      <c r="AB11" s="63"/>
      <c r="AQ11" s="50"/>
      <c r="AR11" s="86"/>
      <c r="AS11" s="75"/>
      <c r="AT11" s="88"/>
      <c r="AU11" s="75"/>
      <c r="AV11" s="50"/>
      <c r="AW11" s="83"/>
      <c r="AX11" s="83"/>
      <c r="AY11" s="118"/>
      <c r="AZ11" s="17"/>
      <c r="BA11" s="17"/>
      <c r="BI11" s="107"/>
      <c r="BJ11" s="107"/>
      <c r="BM11" s="60"/>
      <c r="BN11" s="107"/>
      <c r="BO11" s="107"/>
      <c r="BP11" s="60"/>
    </row>
    <row r="12" spans="1:68" ht="12.75">
      <c r="A12" s="24" t="s">
        <v>9</v>
      </c>
      <c r="B12" s="16" t="s">
        <v>10</v>
      </c>
      <c r="C12" s="16">
        <v>208</v>
      </c>
      <c r="D12" s="20">
        <v>17035</v>
      </c>
      <c r="E12" s="8">
        <v>4.1</v>
      </c>
      <c r="F12" s="7">
        <v>16876</v>
      </c>
      <c r="G12" s="8">
        <v>3.9</v>
      </c>
      <c r="H12" s="13">
        <v>6119</v>
      </c>
      <c r="I12" s="12">
        <v>10440</v>
      </c>
      <c r="J12" s="9">
        <v>11741</v>
      </c>
      <c r="K12" s="9">
        <v>12991</v>
      </c>
      <c r="L12" s="9">
        <v>15031</v>
      </c>
      <c r="M12" s="9">
        <v>18757</v>
      </c>
      <c r="N12" s="9">
        <v>20458</v>
      </c>
      <c r="O12" s="9">
        <v>21766</v>
      </c>
      <c r="P12" s="9">
        <v>23106</v>
      </c>
      <c r="Q12" s="12">
        <v>27257</v>
      </c>
      <c r="R12" s="31">
        <v>6.5</v>
      </c>
      <c r="S12" s="31">
        <v>6</v>
      </c>
      <c r="T12" s="92">
        <f aca="true" t="shared" si="13" ref="T12:T17">D12/100*R12</f>
        <v>1107.2749999999999</v>
      </c>
      <c r="U12" s="33">
        <f aca="true" t="shared" si="14" ref="U12:U17">T12/52</f>
        <v>21.293749999999996</v>
      </c>
      <c r="V12" s="55">
        <f>D12/100*S12</f>
        <v>1022.0999999999999</v>
      </c>
      <c r="W12" s="33">
        <f>E12/100*T12</f>
        <v>45.39827499999999</v>
      </c>
      <c r="X12" s="31">
        <f>R12+1.26</f>
        <v>7.76</v>
      </c>
      <c r="Y12" s="31">
        <f>S12+1.26</f>
        <v>7.26</v>
      </c>
      <c r="Z12" s="55">
        <f>D12/100*X12</f>
        <v>1321.916</v>
      </c>
      <c r="AA12" s="33">
        <f aca="true" t="shared" si="15" ref="AA12:AA17">Z12/52</f>
        <v>25.421461538461536</v>
      </c>
      <c r="AB12" s="64">
        <f>D12/100*Y12</f>
        <v>1236.741</v>
      </c>
      <c r="AC12" s="33">
        <f aca="true" t="shared" si="16" ref="AC12:AC17">AB12/52</f>
        <v>23.78348076923077</v>
      </c>
      <c r="AD12" s="33">
        <f>AA12-U12</f>
        <v>4.12771153846154</v>
      </c>
      <c r="AE12" s="55">
        <f>AB12-V12</f>
        <v>214.64100000000008</v>
      </c>
      <c r="AF12" s="33">
        <f>AE12/52</f>
        <v>4.12771153846154</v>
      </c>
      <c r="AH12" s="33">
        <f aca="true" t="shared" si="17" ref="AH12:AH17">D12/100*$R$32</f>
        <v>783.6099999999999</v>
      </c>
      <c r="AI12" s="33">
        <f aca="true" t="shared" si="18" ref="AI12:AI17">AH12+D12</f>
        <v>17818.61</v>
      </c>
      <c r="AJ12" s="33">
        <f aca="true" t="shared" si="19" ref="AJ12:AJ17">AI12/100*$R$33</f>
        <v>908.74911</v>
      </c>
      <c r="AK12" s="55">
        <f aca="true" t="shared" si="20" ref="AK12:AK17">AI12+AJ12</f>
        <v>18727.35911</v>
      </c>
      <c r="AL12" s="33">
        <f>AK12-D12</f>
        <v>1692.3591100000012</v>
      </c>
      <c r="AM12" s="33">
        <f>AL12+AE12</f>
        <v>1907.0001100000013</v>
      </c>
      <c r="AO12" s="51">
        <f aca="true" t="shared" si="21" ref="AO12:AO17">AK12/100*R12</f>
        <v>1217.27834215</v>
      </c>
      <c r="AP12" s="51">
        <f>AK12/100*S12</f>
        <v>1123.6415466</v>
      </c>
      <c r="AQ12" s="49"/>
      <c r="AR12" s="85">
        <f aca="true" t="shared" si="22" ref="AR12:AR17">AK12-AO12</f>
        <v>17510.080767850002</v>
      </c>
      <c r="AS12" s="67">
        <f>3240.87-126</f>
        <v>3114.87</v>
      </c>
      <c r="AT12" s="105">
        <f>AK12-AP12</f>
        <v>17603.7175634</v>
      </c>
      <c r="AU12" s="67">
        <f>3270.83-126</f>
        <v>3144.83</v>
      </c>
      <c r="AV12" s="49"/>
      <c r="AW12" s="83">
        <f>D12-Z12</f>
        <v>15713.084</v>
      </c>
      <c r="AX12" s="83">
        <f>D12-AB12</f>
        <v>15798.259</v>
      </c>
      <c r="AY12" s="115">
        <v>2570.98</v>
      </c>
      <c r="AZ12" s="115">
        <v>2539.83</v>
      </c>
      <c r="BA12" s="115">
        <v>2567.08</v>
      </c>
      <c r="BC12" s="67">
        <f aca="true" t="shared" si="23" ref="BC12:BC17">AK12-AO12-AS12</f>
        <v>14395.210767850003</v>
      </c>
      <c r="BD12" s="33">
        <f>D12-Z12-AZ12</f>
        <v>13173.254</v>
      </c>
      <c r="BE12" s="33">
        <f>AK12-AP12-AU12</f>
        <v>14458.887563400001</v>
      </c>
      <c r="BF12" s="33">
        <f>D12-AB12-BA12</f>
        <v>13231.179</v>
      </c>
      <c r="BH12" s="87">
        <f aca="true" t="shared" si="24" ref="BH12:BH17">BD12-BC12</f>
        <v>-1221.9567678500025</v>
      </c>
      <c r="BI12" s="106">
        <f aca="true" t="shared" si="25" ref="BI12:BI17">BH12/BC12</f>
        <v>-0.08488634085018734</v>
      </c>
      <c r="BJ12" s="87">
        <f aca="true" t="shared" si="26" ref="BJ12:BJ17">BH12/12</f>
        <v>-101.82973065416688</v>
      </c>
      <c r="BK12" s="87">
        <f>BH12/52</f>
        <v>-23.49916861250005</v>
      </c>
      <c r="BM12" s="55">
        <f>BF12-BE12</f>
        <v>-1227.7085634000014</v>
      </c>
      <c r="BN12" s="106">
        <f>BM12/BE12</f>
        <v>-0.08491030572142483</v>
      </c>
      <c r="BO12" s="55">
        <f>BM12/12</f>
        <v>-102.30904695000011</v>
      </c>
      <c r="BP12" s="55">
        <f>BM12/52</f>
        <v>-23.60978006538464</v>
      </c>
    </row>
    <row r="13" spans="1:68" ht="12.75">
      <c r="A13" s="24" t="s">
        <v>11</v>
      </c>
      <c r="B13" s="16" t="s">
        <v>12</v>
      </c>
      <c r="C13" s="30">
        <v>15</v>
      </c>
      <c r="D13" s="20">
        <v>7280</v>
      </c>
      <c r="E13" s="8">
        <v>9.3</v>
      </c>
      <c r="F13" s="10">
        <v>10064</v>
      </c>
      <c r="G13" s="8">
        <v>32.3</v>
      </c>
      <c r="H13" s="10">
        <v>4500</v>
      </c>
      <c r="I13" s="12">
        <v>5337</v>
      </c>
      <c r="J13" s="12">
        <v>5871</v>
      </c>
      <c r="K13" s="12">
        <v>6139</v>
      </c>
      <c r="L13" s="12">
        <v>6963</v>
      </c>
      <c r="M13" s="11">
        <v>8200</v>
      </c>
      <c r="N13" s="11" t="s">
        <v>13</v>
      </c>
      <c r="O13" s="11" t="s">
        <v>13</v>
      </c>
      <c r="P13" s="11" t="s">
        <v>13</v>
      </c>
      <c r="Q13" s="11" t="s">
        <v>13</v>
      </c>
      <c r="R13" s="31">
        <v>8.5</v>
      </c>
      <c r="S13" s="31">
        <v>11</v>
      </c>
      <c r="T13" s="92">
        <f t="shared" si="13"/>
        <v>618.8</v>
      </c>
      <c r="U13" s="33">
        <f t="shared" si="14"/>
        <v>11.899999999999999</v>
      </c>
      <c r="V13" s="55">
        <f>D13/100*S13</f>
        <v>800.8</v>
      </c>
      <c r="W13" s="33">
        <f>E13/100*T13</f>
        <v>57.5484</v>
      </c>
      <c r="X13" s="31">
        <f>R13+1.26</f>
        <v>9.76</v>
      </c>
      <c r="Y13" s="31">
        <f>S13+1.26</f>
        <v>12.26</v>
      </c>
      <c r="Z13" s="55">
        <f>D13/100*X13</f>
        <v>710.5279999999999</v>
      </c>
      <c r="AA13" s="33">
        <f t="shared" si="15"/>
        <v>13.663999999999998</v>
      </c>
      <c r="AB13" s="64">
        <f>D13/100*Y13</f>
        <v>892.5279999999999</v>
      </c>
      <c r="AC13" s="33">
        <f t="shared" si="16"/>
        <v>17.163999999999998</v>
      </c>
      <c r="AD13" s="33">
        <f>AA13-U13</f>
        <v>1.7639999999999993</v>
      </c>
      <c r="AE13" s="55">
        <f>AB13-V13</f>
        <v>91.72799999999995</v>
      </c>
      <c r="AF13" s="33">
        <f>AE13/52</f>
        <v>1.7639999999999991</v>
      </c>
      <c r="AH13" s="33">
        <f t="shared" si="17"/>
        <v>334.87999999999994</v>
      </c>
      <c r="AI13" s="33">
        <f t="shared" si="18"/>
        <v>7614.88</v>
      </c>
      <c r="AJ13" s="33">
        <f t="shared" si="19"/>
        <v>388.35887999999994</v>
      </c>
      <c r="AK13" s="55">
        <f t="shared" si="20"/>
        <v>8003.23888</v>
      </c>
      <c r="AL13" s="33">
        <f>AK13-D13</f>
        <v>723.2388799999999</v>
      </c>
      <c r="AM13" s="33">
        <f>AL13+AE13</f>
        <v>814.9668799999998</v>
      </c>
      <c r="AO13" s="51">
        <f t="shared" si="21"/>
        <v>680.2753048</v>
      </c>
      <c r="AP13" s="51">
        <f>AK13/100*S13</f>
        <v>880.3562767999999</v>
      </c>
      <c r="AQ13" s="49"/>
      <c r="AR13" s="85">
        <f t="shared" si="22"/>
        <v>7322.9635751999995</v>
      </c>
      <c r="AS13" s="111">
        <v>11.4</v>
      </c>
      <c r="AT13" s="105">
        <f>AK13-AP13</f>
        <v>7122.8826032</v>
      </c>
      <c r="AU13" s="67">
        <v>0</v>
      </c>
      <c r="AV13" s="49"/>
      <c r="AW13" s="83">
        <f>D13-Z13</f>
        <v>6569.472</v>
      </c>
      <c r="AX13" s="83">
        <f>D13-AB13</f>
        <v>6387.472</v>
      </c>
      <c r="AY13" s="119">
        <v>0</v>
      </c>
      <c r="AZ13" s="115">
        <v>0</v>
      </c>
      <c r="BA13" s="115">
        <v>0</v>
      </c>
      <c r="BC13" s="67">
        <f t="shared" si="23"/>
        <v>7311.5635752</v>
      </c>
      <c r="BD13" s="33">
        <f>D13-Z13-AZ13</f>
        <v>6569.472</v>
      </c>
      <c r="BE13" s="51">
        <f>AK13-AP13-AU13</f>
        <v>7122.8826032</v>
      </c>
      <c r="BF13" s="33">
        <f>D13-AB13-BA13</f>
        <v>6387.472</v>
      </c>
      <c r="BH13" s="105">
        <f t="shared" si="24"/>
        <v>-742.0915752000001</v>
      </c>
      <c r="BI13" s="109">
        <f t="shared" si="25"/>
        <v>-0.10149560590802918</v>
      </c>
      <c r="BJ13" s="87">
        <f t="shared" si="26"/>
        <v>-61.84096460000001</v>
      </c>
      <c r="BK13" s="105">
        <f>BH13/52</f>
        <v>-14.270991830769232</v>
      </c>
      <c r="BM13" s="104">
        <f>BF13-BE13</f>
        <v>-735.4106032</v>
      </c>
      <c r="BN13" s="109">
        <f>BM13/BE13</f>
        <v>-0.10324620580853208</v>
      </c>
      <c r="BO13" s="55">
        <f>BM13/12</f>
        <v>-61.28421693333333</v>
      </c>
      <c r="BP13" s="104">
        <f>BM13/52</f>
        <v>-14.142511599999999</v>
      </c>
    </row>
    <row r="14" spans="1:68" ht="12.75">
      <c r="A14" s="24" t="s">
        <v>14</v>
      </c>
      <c r="B14" s="16" t="s">
        <v>15</v>
      </c>
      <c r="C14" s="25">
        <v>22</v>
      </c>
      <c r="D14" s="20">
        <v>18106</v>
      </c>
      <c r="E14" s="8">
        <v>1.3</v>
      </c>
      <c r="F14" s="7">
        <v>18946</v>
      </c>
      <c r="G14" s="8">
        <v>2.3</v>
      </c>
      <c r="H14" s="13">
        <v>9741</v>
      </c>
      <c r="I14" s="12">
        <v>12486</v>
      </c>
      <c r="J14" s="12">
        <v>14147</v>
      </c>
      <c r="K14" s="12">
        <v>15372</v>
      </c>
      <c r="L14" s="12">
        <v>16945</v>
      </c>
      <c r="M14" s="12">
        <v>19880</v>
      </c>
      <c r="N14" s="11">
        <v>22150</v>
      </c>
      <c r="O14" s="11">
        <v>23368</v>
      </c>
      <c r="P14" s="11">
        <v>24737</v>
      </c>
      <c r="Q14" s="11" t="s">
        <v>13</v>
      </c>
      <c r="R14" s="31">
        <v>6.5</v>
      </c>
      <c r="S14" s="31"/>
      <c r="T14" s="92">
        <f t="shared" si="13"/>
        <v>1176.89</v>
      </c>
      <c r="U14" s="33">
        <f t="shared" si="14"/>
        <v>22.6325</v>
      </c>
      <c r="V14" s="55"/>
      <c r="W14" s="33"/>
      <c r="X14" s="31">
        <f>R14+1.26</f>
        <v>7.76</v>
      </c>
      <c r="Y14" s="31"/>
      <c r="Z14" s="55">
        <f>D14/100*X14</f>
        <v>1405.0256</v>
      </c>
      <c r="AA14" s="33">
        <f t="shared" si="15"/>
        <v>27.019723076923075</v>
      </c>
      <c r="AB14" s="64"/>
      <c r="AC14" s="33"/>
      <c r="AD14" s="33">
        <f>AA14-U14</f>
        <v>4.387223076923075</v>
      </c>
      <c r="AH14" s="33">
        <f t="shared" si="17"/>
        <v>832.876</v>
      </c>
      <c r="AI14" s="33">
        <f t="shared" si="18"/>
        <v>18938.876</v>
      </c>
      <c r="AJ14" s="33">
        <f t="shared" si="19"/>
        <v>965.8826759999998</v>
      </c>
      <c r="AK14" s="55">
        <f t="shared" si="20"/>
        <v>19904.758676</v>
      </c>
      <c r="AL14" s="33">
        <f>AK14-D14</f>
        <v>1798.7586760000013</v>
      </c>
      <c r="AM14" s="33" t="s">
        <v>38</v>
      </c>
      <c r="AO14" s="51">
        <f t="shared" si="21"/>
        <v>1293.80931394</v>
      </c>
      <c r="AP14" s="51" t="s">
        <v>38</v>
      </c>
      <c r="AQ14" s="49"/>
      <c r="AR14" s="85">
        <f t="shared" si="22"/>
        <v>18610.94936206</v>
      </c>
      <c r="AS14" s="67">
        <f>3592.84-126</f>
        <v>3466.84</v>
      </c>
      <c r="AT14" s="105" t="s">
        <v>38</v>
      </c>
      <c r="AU14" s="67" t="s">
        <v>38</v>
      </c>
      <c r="AV14" s="49"/>
      <c r="AW14" s="83">
        <f>D14-Z14</f>
        <v>16700.9744</v>
      </c>
      <c r="AX14" s="83" t="s">
        <v>38</v>
      </c>
      <c r="AY14" s="115">
        <v>2881.14</v>
      </c>
      <c r="AZ14" s="115">
        <v>2855.95</v>
      </c>
      <c r="BA14" s="17" t="s">
        <v>38</v>
      </c>
      <c r="BC14" s="67">
        <f t="shared" si="23"/>
        <v>15144.10936206</v>
      </c>
      <c r="BD14" s="33">
        <f>D14-Z14-AZ14</f>
        <v>13845.024399999998</v>
      </c>
      <c r="BE14" s="33" t="s">
        <v>38</v>
      </c>
      <c r="BF14" s="33" t="s">
        <v>38</v>
      </c>
      <c r="BH14" s="87">
        <f t="shared" si="24"/>
        <v>-1299.084962060002</v>
      </c>
      <c r="BI14" s="106">
        <f t="shared" si="25"/>
        <v>-0.08578153597560206</v>
      </c>
      <c r="BJ14" s="87">
        <f t="shared" si="26"/>
        <v>-108.25708017166683</v>
      </c>
      <c r="BK14" s="87">
        <f>BH14/52</f>
        <v>-24.9824031165385</v>
      </c>
      <c r="BM14" s="104" t="s">
        <v>38</v>
      </c>
      <c r="BN14" s="104" t="s">
        <v>38</v>
      </c>
      <c r="BO14" s="83" t="s">
        <v>38</v>
      </c>
      <c r="BP14" s="104" t="s">
        <v>38</v>
      </c>
    </row>
    <row r="15" spans="1:68" ht="12.75">
      <c r="A15" s="24" t="s">
        <v>16</v>
      </c>
      <c r="B15" s="16" t="s">
        <v>17</v>
      </c>
      <c r="C15" s="25">
        <v>102</v>
      </c>
      <c r="D15" s="20">
        <v>23490</v>
      </c>
      <c r="E15" s="8">
        <v>3.3</v>
      </c>
      <c r="F15" s="7">
        <v>24874</v>
      </c>
      <c r="G15" s="8">
        <v>1.2</v>
      </c>
      <c r="H15" s="13" t="s">
        <v>13</v>
      </c>
      <c r="I15" s="11">
        <v>13213</v>
      </c>
      <c r="J15" s="12">
        <v>14667</v>
      </c>
      <c r="K15" s="12">
        <v>16662</v>
      </c>
      <c r="L15" s="12">
        <v>20017</v>
      </c>
      <c r="M15" s="12">
        <v>27141</v>
      </c>
      <c r="N15" s="12">
        <v>32110</v>
      </c>
      <c r="O15" s="12">
        <v>34532</v>
      </c>
      <c r="P15" s="12">
        <v>36268</v>
      </c>
      <c r="Q15" s="11" t="s">
        <v>13</v>
      </c>
      <c r="R15" s="31">
        <v>6.4</v>
      </c>
      <c r="S15" s="31">
        <v>6</v>
      </c>
      <c r="T15" s="92">
        <f t="shared" si="13"/>
        <v>1503.3600000000001</v>
      </c>
      <c r="U15" s="33">
        <f t="shared" si="14"/>
        <v>28.910769230769233</v>
      </c>
      <c r="V15" s="55">
        <f>D15/100*S15</f>
        <v>1409.4</v>
      </c>
      <c r="W15" s="33">
        <f>E15/100*T15</f>
        <v>49.61088000000001</v>
      </c>
      <c r="X15" s="31">
        <f>R15+1.26</f>
        <v>7.66</v>
      </c>
      <c r="Y15" s="31">
        <f>S15+1.26</f>
        <v>7.26</v>
      </c>
      <c r="Z15" s="55">
        <f>D15/100*X15</f>
        <v>1799.334</v>
      </c>
      <c r="AA15" s="33">
        <f t="shared" si="15"/>
        <v>34.602576923076924</v>
      </c>
      <c r="AB15" s="64">
        <f>D15/100*Y15</f>
        <v>1705.374</v>
      </c>
      <c r="AC15" s="33">
        <f t="shared" si="16"/>
        <v>32.79565384615385</v>
      </c>
      <c r="AD15" s="33">
        <f>AA15-U15</f>
        <v>5.691807692307691</v>
      </c>
      <c r="AE15" s="55">
        <f>AB15-V15</f>
        <v>295.97399999999993</v>
      </c>
      <c r="AF15" s="33">
        <f>AE15/52</f>
        <v>5.691807692307691</v>
      </c>
      <c r="AH15" s="33">
        <f t="shared" si="17"/>
        <v>1080.54</v>
      </c>
      <c r="AI15" s="33">
        <f t="shared" si="18"/>
        <v>24570.54</v>
      </c>
      <c r="AJ15" s="33">
        <f t="shared" si="19"/>
        <v>1253.09754</v>
      </c>
      <c r="AK15" s="55">
        <f t="shared" si="20"/>
        <v>25823.63754</v>
      </c>
      <c r="AL15" s="33">
        <f>AK15-D15</f>
        <v>2333.6375399999997</v>
      </c>
      <c r="AM15" s="33">
        <f>AL15+AE15</f>
        <v>2629.61154</v>
      </c>
      <c r="AO15" s="51">
        <f t="shared" si="21"/>
        <v>1652.71280256</v>
      </c>
      <c r="AP15" s="51">
        <f>AK15/100*S15</f>
        <v>1549.4182523999998</v>
      </c>
      <c r="AQ15" s="49"/>
      <c r="AR15" s="85">
        <f t="shared" si="22"/>
        <v>24170.92473744</v>
      </c>
      <c r="AS15" s="67">
        <f>5372.33-126</f>
        <v>5246.33</v>
      </c>
      <c r="AT15" s="105">
        <f>AK15-AP15</f>
        <v>24274.2192876</v>
      </c>
      <c r="AU15" s="67">
        <f>5405.39-126</f>
        <v>5279.39</v>
      </c>
      <c r="AV15" s="49"/>
      <c r="AW15" s="83">
        <f>D15-Z15</f>
        <v>21690.666</v>
      </c>
      <c r="AX15" s="83">
        <f>D15-AB15</f>
        <v>21784.626</v>
      </c>
      <c r="AY15" s="115">
        <v>4447.86</v>
      </c>
      <c r="AZ15" s="115">
        <v>4452.65</v>
      </c>
      <c r="BA15" s="115">
        <v>4482.72</v>
      </c>
      <c r="BC15" s="67">
        <f t="shared" si="23"/>
        <v>18924.59473744</v>
      </c>
      <c r="BD15" s="33">
        <f>D15-Z15-AZ15</f>
        <v>17238.016000000003</v>
      </c>
      <c r="BE15" s="33">
        <f>AK15-AP15-AU15</f>
        <v>18994.8292876</v>
      </c>
      <c r="BF15" s="33">
        <f>D15-AB15-BA15</f>
        <v>17301.906</v>
      </c>
      <c r="BH15" s="87">
        <f t="shared" si="24"/>
        <v>-1686.5787374399952</v>
      </c>
      <c r="BI15" s="106">
        <f t="shared" si="25"/>
        <v>-0.08912099629289842</v>
      </c>
      <c r="BJ15" s="87">
        <f t="shared" si="26"/>
        <v>-140.5482281199996</v>
      </c>
      <c r="BK15" s="87">
        <f>BH15/52</f>
        <v>-32.434206489230675</v>
      </c>
      <c r="BM15" s="55">
        <f>BF15-BE15</f>
        <v>-1692.9232876000024</v>
      </c>
      <c r="BN15" s="106">
        <f>BM15/BE15</f>
        <v>-0.08912548051722466</v>
      </c>
      <c r="BO15" s="55">
        <f>BM15/12</f>
        <v>-141.07694063333352</v>
      </c>
      <c r="BP15" s="55">
        <f>BM15/52</f>
        <v>-32.55621706923081</v>
      </c>
    </row>
    <row r="16" spans="1:68" ht="12.75">
      <c r="A16" s="24" t="s">
        <v>18</v>
      </c>
      <c r="B16" s="16" t="s">
        <v>19</v>
      </c>
      <c r="C16" s="30">
        <v>9</v>
      </c>
      <c r="D16" s="20">
        <v>15907</v>
      </c>
      <c r="E16" s="8">
        <v>6.7</v>
      </c>
      <c r="F16" s="7">
        <v>16726</v>
      </c>
      <c r="G16" s="8">
        <v>9.6</v>
      </c>
      <c r="H16" s="13" t="s">
        <v>13</v>
      </c>
      <c r="I16" s="12">
        <v>12732</v>
      </c>
      <c r="J16" s="12">
        <v>13081</v>
      </c>
      <c r="K16" s="12">
        <v>13309</v>
      </c>
      <c r="L16" s="12">
        <v>14667</v>
      </c>
      <c r="M16" s="12">
        <v>16934</v>
      </c>
      <c r="N16" s="11">
        <v>18214</v>
      </c>
      <c r="O16" s="11">
        <v>20148</v>
      </c>
      <c r="P16" s="11" t="s">
        <v>13</v>
      </c>
      <c r="Q16" s="11" t="s">
        <v>13</v>
      </c>
      <c r="R16" s="31">
        <v>3.5</v>
      </c>
      <c r="S16" s="31"/>
      <c r="T16" s="92">
        <f t="shared" si="13"/>
        <v>556.745</v>
      </c>
      <c r="U16" s="33">
        <f t="shared" si="14"/>
        <v>10.706634615384615</v>
      </c>
      <c r="V16" s="55"/>
      <c r="W16" s="33"/>
      <c r="X16" s="31">
        <f>R16+1.26</f>
        <v>4.76</v>
      </c>
      <c r="Y16" s="31"/>
      <c r="Z16" s="55">
        <f>D16/100*X16</f>
        <v>757.1732</v>
      </c>
      <c r="AA16" s="33">
        <f t="shared" si="15"/>
        <v>14.561023076923076</v>
      </c>
      <c r="AB16" s="64"/>
      <c r="AC16" s="33"/>
      <c r="AD16" s="33">
        <f>AA16-U16</f>
        <v>3.854388461538461</v>
      </c>
      <c r="AH16" s="33">
        <f t="shared" si="17"/>
        <v>731.7219999999999</v>
      </c>
      <c r="AI16" s="33">
        <f t="shared" si="18"/>
        <v>16638.722</v>
      </c>
      <c r="AJ16" s="33">
        <f t="shared" si="19"/>
        <v>848.574822</v>
      </c>
      <c r="AK16" s="55">
        <f t="shared" si="20"/>
        <v>17487.296822</v>
      </c>
      <c r="AL16" s="33">
        <f>AK16-D16</f>
        <v>1580.2968220000002</v>
      </c>
      <c r="AM16" s="33" t="s">
        <v>38</v>
      </c>
      <c r="AO16" s="51">
        <f t="shared" si="21"/>
        <v>612.0553887699999</v>
      </c>
      <c r="AP16" s="51" t="s">
        <v>38</v>
      </c>
      <c r="AQ16" s="49"/>
      <c r="AR16" s="85">
        <f t="shared" si="22"/>
        <v>16875.24143323</v>
      </c>
      <c r="AS16" s="67">
        <f>3037.72-126</f>
        <v>2911.72</v>
      </c>
      <c r="AT16" s="105" t="s">
        <v>38</v>
      </c>
      <c r="AU16" s="67" t="s">
        <v>38</v>
      </c>
      <c r="AV16" s="49"/>
      <c r="AW16" s="83">
        <f>D16-Z16</f>
        <v>15149.8268</v>
      </c>
      <c r="AX16" s="83" t="s">
        <v>38</v>
      </c>
      <c r="AY16" s="115">
        <v>2397.02</v>
      </c>
      <c r="AZ16" s="115">
        <v>2359.59</v>
      </c>
      <c r="BA16" s="17" t="s">
        <v>38</v>
      </c>
      <c r="BC16" s="67">
        <f t="shared" si="23"/>
        <v>13963.52143323</v>
      </c>
      <c r="BD16" s="33">
        <f>D16-Z16-AZ16</f>
        <v>12790.2368</v>
      </c>
      <c r="BE16" s="33" t="s">
        <v>38</v>
      </c>
      <c r="BF16" s="33" t="s">
        <v>38</v>
      </c>
      <c r="BH16" s="87">
        <f t="shared" si="24"/>
        <v>-1173.2846332299996</v>
      </c>
      <c r="BI16" s="106">
        <f t="shared" si="25"/>
        <v>-0.08402498172401193</v>
      </c>
      <c r="BJ16" s="87">
        <f t="shared" si="26"/>
        <v>-97.7737194358333</v>
      </c>
      <c r="BK16" s="87">
        <f>BH16/52</f>
        <v>-22.56316602365384</v>
      </c>
      <c r="BM16" s="55" t="s">
        <v>38</v>
      </c>
      <c r="BN16" s="55" t="s">
        <v>38</v>
      </c>
      <c r="BO16" s="64" t="s">
        <v>38</v>
      </c>
      <c r="BP16" s="55" t="s">
        <v>38</v>
      </c>
    </row>
    <row r="17" spans="1:90" s="98" customFormat="1" ht="12.75">
      <c r="A17" s="70" t="s">
        <v>22</v>
      </c>
      <c r="B17" s="100" t="s">
        <v>23</v>
      </c>
      <c r="C17" s="100">
        <v>94</v>
      </c>
      <c r="D17" s="95">
        <v>10365</v>
      </c>
      <c r="E17" s="101">
        <v>0.3</v>
      </c>
      <c r="F17" s="102">
        <v>10447</v>
      </c>
      <c r="G17" s="101">
        <v>0.6</v>
      </c>
      <c r="H17" s="102">
        <v>4682</v>
      </c>
      <c r="I17" s="103">
        <v>6686</v>
      </c>
      <c r="J17" s="103">
        <v>7427</v>
      </c>
      <c r="K17" s="103">
        <v>8444</v>
      </c>
      <c r="L17" s="103">
        <v>9388</v>
      </c>
      <c r="M17" s="103">
        <v>11436</v>
      </c>
      <c r="N17" s="103">
        <v>12638</v>
      </c>
      <c r="O17" s="103">
        <v>13222</v>
      </c>
      <c r="P17" s="103">
        <v>13938</v>
      </c>
      <c r="Q17" s="103">
        <v>15822</v>
      </c>
      <c r="R17" s="99">
        <v>6.5</v>
      </c>
      <c r="S17" s="99">
        <v>6</v>
      </c>
      <c r="T17" s="97">
        <f t="shared" si="13"/>
        <v>673.725</v>
      </c>
      <c r="U17" s="51">
        <f t="shared" si="14"/>
        <v>12.95625</v>
      </c>
      <c r="V17" s="104">
        <f>D17/100*S17</f>
        <v>621.9000000000001</v>
      </c>
      <c r="W17" s="51">
        <f>E17/100*T17</f>
        <v>2.021175</v>
      </c>
      <c r="X17" s="99">
        <f>R17+1.26</f>
        <v>7.76</v>
      </c>
      <c r="Y17" s="99">
        <f>S17+1.26</f>
        <v>7.26</v>
      </c>
      <c r="Z17" s="104">
        <f>(D17+500)/100*X17</f>
        <v>843.124</v>
      </c>
      <c r="AA17" s="51">
        <f t="shared" si="15"/>
        <v>16.213923076923077</v>
      </c>
      <c r="AB17" s="83">
        <f>(D17+500)/100*Y17</f>
        <v>788.799</v>
      </c>
      <c r="AC17" s="51">
        <f t="shared" si="16"/>
        <v>15.169211538461537</v>
      </c>
      <c r="AD17" s="51">
        <f>AA17-U17</f>
        <v>3.2576730769230764</v>
      </c>
      <c r="AE17" s="104">
        <f>AB17-V17</f>
        <v>166.8989999999999</v>
      </c>
      <c r="AF17" s="51">
        <f>AE17/52</f>
        <v>3.2095961538461517</v>
      </c>
      <c r="AG17" s="40"/>
      <c r="AH17" s="51">
        <f t="shared" si="17"/>
        <v>476.78999999999996</v>
      </c>
      <c r="AI17" s="51">
        <f t="shared" si="18"/>
        <v>10841.79</v>
      </c>
      <c r="AJ17" s="51">
        <f t="shared" si="19"/>
        <v>552.93129</v>
      </c>
      <c r="AK17" s="104">
        <f t="shared" si="20"/>
        <v>11394.721290000001</v>
      </c>
      <c r="AL17" s="51">
        <f>AK17-(D17+500)</f>
        <v>529.7212900000013</v>
      </c>
      <c r="AM17" s="51">
        <f>AL17+AE17</f>
        <v>696.6202900000012</v>
      </c>
      <c r="AN17" s="40"/>
      <c r="AO17" s="51">
        <f t="shared" si="21"/>
        <v>740.6568838500001</v>
      </c>
      <c r="AP17" s="51">
        <f>AK17/100*S17</f>
        <v>683.6832774000001</v>
      </c>
      <c r="AQ17" s="40"/>
      <c r="AR17" s="85">
        <f t="shared" si="22"/>
        <v>10654.06440615</v>
      </c>
      <c r="AS17" s="67">
        <f>1046.94-126</f>
        <v>920.94</v>
      </c>
      <c r="AT17" s="105">
        <f>AK17-AP17</f>
        <v>10711.038012600002</v>
      </c>
      <c r="AU17" s="67">
        <f>1065.17-126</f>
        <v>939.1700000000001</v>
      </c>
      <c r="AV17" s="40"/>
      <c r="AW17" s="83">
        <f>(D17+500)-Z17</f>
        <v>10021.876</v>
      </c>
      <c r="AX17" s="83">
        <f>(D17+500)-AB17</f>
        <v>10076.201000000001</v>
      </c>
      <c r="AY17" s="67">
        <v>799.35</v>
      </c>
      <c r="AZ17" s="115">
        <v>718.64</v>
      </c>
      <c r="BA17" s="115">
        <v>736.02</v>
      </c>
      <c r="BB17" s="40"/>
      <c r="BC17" s="67">
        <f t="shared" si="23"/>
        <v>9733.12440615</v>
      </c>
      <c r="BD17" s="33">
        <f>(D17+500)-Z17-AZ17</f>
        <v>9303.236</v>
      </c>
      <c r="BE17" s="51">
        <f>AK17-AP17-AU17</f>
        <v>9771.868012600002</v>
      </c>
      <c r="BF17" s="33">
        <f>(D17+500)-AB17-BA17</f>
        <v>9340.181</v>
      </c>
      <c r="BG17" s="40"/>
      <c r="BH17" s="105">
        <f t="shared" si="24"/>
        <v>-429.88840614999935</v>
      </c>
      <c r="BI17" s="109">
        <f t="shared" si="25"/>
        <v>-0.04416756513236066</v>
      </c>
      <c r="BJ17" s="87">
        <f t="shared" si="26"/>
        <v>-35.82403384583328</v>
      </c>
      <c r="BK17" s="105">
        <f>BH17/52</f>
        <v>-8.267084733653833</v>
      </c>
      <c r="BL17" s="40"/>
      <c r="BM17" s="104">
        <f>BF17-BE17</f>
        <v>-431.68701260000125</v>
      </c>
      <c r="BN17" s="109">
        <f>BM17/BE17</f>
        <v>-0.04417650873337392</v>
      </c>
      <c r="BO17" s="55">
        <f>BM17/12</f>
        <v>-35.97391771666677</v>
      </c>
      <c r="BP17" s="104">
        <f>BM17/52</f>
        <v>-8.301673319230794</v>
      </c>
      <c r="BQ17" s="68"/>
      <c r="BR17" s="68"/>
      <c r="BS17"/>
      <c r="BT17"/>
      <c r="BU17"/>
      <c r="BV17"/>
      <c r="BW17"/>
      <c r="BX17"/>
      <c r="BY17"/>
      <c r="BZ17"/>
      <c r="CA17"/>
      <c r="CB17"/>
      <c r="CC17"/>
      <c r="CD17"/>
      <c r="CE17"/>
      <c r="CF17"/>
      <c r="CG17"/>
      <c r="CH17"/>
      <c r="CI17"/>
      <c r="CJ17"/>
      <c r="CK17"/>
      <c r="CL17"/>
    </row>
    <row r="18" spans="18:67" ht="12.75">
      <c r="R18" s="31"/>
      <c r="S18" s="31"/>
      <c r="T18" s="59"/>
      <c r="U18" s="31"/>
      <c r="V18" s="57"/>
      <c r="W18" s="31"/>
      <c r="AW18" s="83"/>
      <c r="AX18" s="83"/>
      <c r="BA18" s="52"/>
      <c r="BN18" s="46"/>
      <c r="BO18" s="46"/>
    </row>
    <row r="19" spans="49:53" ht="12.75">
      <c r="AW19" s="83"/>
      <c r="AX19" s="83"/>
      <c r="AY19" s="79"/>
      <c r="AZ19" s="67"/>
      <c r="BA19" s="67"/>
    </row>
    <row r="20" spans="1:53" ht="140.25">
      <c r="A20" s="113" t="s">
        <v>81</v>
      </c>
      <c r="AW20" s="83"/>
      <c r="AX20" s="83"/>
      <c r="AY20" s="79"/>
      <c r="AZ20" s="67"/>
      <c r="BA20" s="67"/>
    </row>
    <row r="21" spans="1:53" ht="76.5">
      <c r="A21" s="110" t="s">
        <v>49</v>
      </c>
      <c r="AW21" s="83"/>
      <c r="AX21" s="83"/>
      <c r="AZ21" s="67"/>
      <c r="BA21" s="74"/>
    </row>
    <row r="22" spans="1:53" ht="63.75">
      <c r="A22" s="110" t="s">
        <v>52</v>
      </c>
      <c r="AW22" s="83"/>
      <c r="AX22" s="83"/>
      <c r="AZ22" s="67"/>
      <c r="BA22" s="67"/>
    </row>
    <row r="23" spans="1:53" ht="63.75">
      <c r="A23" s="110" t="s">
        <v>67</v>
      </c>
      <c r="S23" s="74"/>
      <c r="AW23" s="83"/>
      <c r="AX23" s="83"/>
      <c r="AZ23" s="67"/>
      <c r="BA23" s="67"/>
    </row>
    <row r="24" spans="1:53" ht="38.25">
      <c r="A24" s="110" t="s">
        <v>50</v>
      </c>
      <c r="AW24" s="83"/>
      <c r="AX24" s="83"/>
      <c r="AZ24" s="67"/>
      <c r="BA24" s="67"/>
    </row>
    <row r="25" spans="1:53" ht="191.25">
      <c r="A25" s="110" t="s">
        <v>68</v>
      </c>
      <c r="AW25" s="83"/>
      <c r="AX25" s="83"/>
      <c r="AZ25" s="84"/>
      <c r="BA25" s="84"/>
    </row>
    <row r="26" spans="1:53" ht="38.25">
      <c r="A26" s="110" t="s">
        <v>75</v>
      </c>
      <c r="AW26" s="83"/>
      <c r="AX26" s="83"/>
      <c r="AZ26" s="68"/>
      <c r="BA26" s="74"/>
    </row>
    <row r="27" spans="1:53" ht="25.5">
      <c r="A27" s="110" t="s">
        <v>76</v>
      </c>
      <c r="AW27" s="83"/>
      <c r="AX27" s="83"/>
      <c r="AZ27" s="67"/>
      <c r="BA27" s="67"/>
    </row>
    <row r="28" spans="1:53" ht="51">
      <c r="A28" s="110" t="s">
        <v>85</v>
      </c>
      <c r="AW28" s="83"/>
      <c r="AX28" s="83"/>
      <c r="AZ28" s="67"/>
      <c r="BA28" s="67"/>
    </row>
    <row r="29" spans="49:53" ht="12.75">
      <c r="AW29" s="83"/>
      <c r="AX29" s="83"/>
      <c r="AZ29" s="67"/>
      <c r="BA29" s="67"/>
    </row>
    <row r="30" spans="1:53" ht="12.75">
      <c r="A30" s="21" t="s">
        <v>32</v>
      </c>
      <c r="AW30" s="83"/>
      <c r="AX30" s="83"/>
      <c r="AZ30" s="67"/>
      <c r="BA30" s="74"/>
    </row>
    <row r="31" spans="4:53" ht="12.75">
      <c r="D31" s="43"/>
      <c r="E31" s="44"/>
      <c r="F31" s="44"/>
      <c r="G31" s="44"/>
      <c r="H31" s="44"/>
      <c r="I31" s="44"/>
      <c r="J31" s="44"/>
      <c r="K31" s="44"/>
      <c r="L31" s="44"/>
      <c r="M31" s="44"/>
      <c r="N31" s="44"/>
      <c r="O31" s="44"/>
      <c r="P31" s="44"/>
      <c r="Q31" s="44"/>
      <c r="R31" s="43" t="s">
        <v>31</v>
      </c>
      <c r="AW31" s="83"/>
      <c r="AX31" s="83"/>
      <c r="AZ31" s="67"/>
      <c r="BA31" s="67"/>
    </row>
    <row r="32" spans="1:53" ht="12.75">
      <c r="A32" s="96" t="s">
        <v>56</v>
      </c>
      <c r="R32" s="17">
        <v>4.6</v>
      </c>
      <c r="AW32" s="83"/>
      <c r="AX32" s="83"/>
      <c r="AZ32" s="67"/>
      <c r="BA32" s="67"/>
    </row>
    <row r="33" spans="1:53" ht="12.75">
      <c r="A33" s="45">
        <v>2011</v>
      </c>
      <c r="R33" s="17">
        <v>5.1</v>
      </c>
      <c r="AW33" s="83"/>
      <c r="AX33" s="83"/>
      <c r="AZ33" s="67"/>
      <c r="BA33" s="67"/>
    </row>
    <row r="34" spans="1:50" ht="12.75">
      <c r="A34" s="45"/>
      <c r="AW34" s="83"/>
      <c r="AX34" s="83"/>
    </row>
    <row r="35" spans="1:50" ht="12.75">
      <c r="A35" s="45"/>
      <c r="AW35" s="83"/>
      <c r="AX35" s="83"/>
    </row>
    <row r="36" spans="49:50" ht="12.75">
      <c r="AW36" s="83"/>
      <c r="AX36" s="83"/>
    </row>
    <row r="37" spans="1:50" ht="12.75">
      <c r="A37" s="21" t="s">
        <v>36</v>
      </c>
      <c r="AW37" s="83"/>
      <c r="AX37" s="83"/>
    </row>
    <row r="38" ht="12.75">
      <c r="A38" t="s">
        <v>37</v>
      </c>
    </row>
    <row r="39" ht="12.75">
      <c r="A39" s="94" t="s">
        <v>55</v>
      </c>
    </row>
    <row r="40" ht="12.75">
      <c r="A40" s="94" t="s">
        <v>54</v>
      </c>
    </row>
    <row r="41" ht="12.75">
      <c r="A41" s="51"/>
    </row>
  </sheetData>
  <sheetProtection/>
  <printOptions/>
  <pageMargins left="0.75" right="0.75" top="1" bottom="1" header="0.5" footer="0.5"/>
  <pageSetup horizontalDpi="600" verticalDpi="600" orientation="portrait" r:id="rId3"/>
  <ignoredErrors>
    <ignoredError sqref="AB5 AB7 AB12:AB13 AB1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MESH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and Jon</dc:creator>
  <cp:keywords/>
  <dc:description/>
  <cp:lastModifiedBy>smithn</cp:lastModifiedBy>
  <dcterms:created xsi:type="dcterms:W3CDTF">2011-06-24T11:27:29Z</dcterms:created>
  <dcterms:modified xsi:type="dcterms:W3CDTF">2011-06-29T12:08:53Z</dcterms:modified>
  <cp:category/>
  <cp:version/>
  <cp:contentType/>
  <cp:contentStatus/>
</cp:coreProperties>
</file>